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5.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6.xml" ContentType="application/vnd.openxmlformats-officedocument.drawing+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Indicators - Industrial_2020\"/>
    </mc:Choice>
  </mc:AlternateContent>
  <xr:revisionPtr revIDLastSave="0" documentId="13_ncr:1_{D6C9D220-1A2F-4878-AD89-685D7C9075A7}" xr6:coauthVersionLast="45" xr6:coauthVersionMax="45" xr10:uidLastSave="{00000000-0000-0000-0000-000000000000}"/>
  <bookViews>
    <workbookView xWindow="2685" yWindow="615" windowWidth="17100" windowHeight="14055" firstSheet="10" activeTab="12" xr2:uid="{00000000-000D-0000-FFFF-FFFF00000000}"/>
  </bookViews>
  <sheets>
    <sheet name="A Few Notes" sheetId="19" r:id="rId1"/>
    <sheet name="ASM_Annual_Elec_1970on" sheetId="16" r:id="rId2"/>
    <sheet name="MECS_Annual_Fuel1" sheetId="5" r:id="rId3"/>
    <sheet name="MECS_Annual_Fuel2" sheetId="9" r:id="rId4"/>
    <sheet name="ASM_Annual_Fuel3_1970on" sheetId="17" r:id="rId5"/>
    <sheet name="ASM_Fuel_Cost_1985-88" sheetId="6" r:id="rId6"/>
    <sheet name="ELECNEA" sheetId="11" r:id="rId7"/>
    <sheet name="elechap2b" sheetId="1" r:id="rId8"/>
    <sheet name="elechap3b" sheetId="10" r:id="rId9"/>
    <sheet name="ALLFOS" sheetId="12" r:id="rId10"/>
    <sheet name="fallhap2b" sheetId="2" r:id="rId11"/>
    <sheet name="fallhap3b" sheetId="14" r:id="rId12"/>
    <sheet name="MECS_Fuel" sheetId="4" r:id="rId13"/>
    <sheet name="ASM2" sheetId="3" r:id="rId14"/>
    <sheet name="MER_Nov19_Table2.4" sheetId="20" r:id="rId15"/>
    <sheet name="AER11_Table2.1d" sheetId="18" r:id="rId16"/>
  </sheets>
  <externalReferences>
    <externalReference r:id="rId17"/>
    <externalReference r:id="rId18"/>
    <externalReference r:id="rId19"/>
    <externalReference r:id="rId20"/>
    <externalReference r:id="rId21"/>
    <externalReference r:id="rId22"/>
  </externalReferences>
  <definedNames>
    <definedName name="\j">#REF!</definedName>
    <definedName name="_1982">[1]RECS_2!#REF!</definedName>
    <definedName name="AllData">#REF!</definedName>
    <definedName name="base_row">[2]General_inputs!$O$6</definedName>
    <definedName name="base_row2">[2]General_inputs!$O$7</definedName>
    <definedName name="Base_year">[2]General_inputs!$F$6</definedName>
    <definedName name="Base_year2">[2]General_inputs!$F$7</definedName>
    <definedName name="Begin_year_chart1">[2]General_inputs!$F$20</definedName>
    <definedName name="End_year_chart1">[2]General_inputs!$F$21</definedName>
    <definedName name="HTML_CodePage" hidden="1">1252</definedName>
    <definedName name="HTML_Control" hidden="1">{"'Sheet1'!$A$1:$K$41"}</definedName>
    <definedName name="HTML_Description" hidden="1">""</definedName>
    <definedName name="HTML_Email" hidden="1">""</definedName>
    <definedName name="HTML_Header" hidden="1">""</definedName>
    <definedName name="HTML_LastUpdate" hidden="1">"7/26/00"</definedName>
    <definedName name="HTML_LineAfter" hidden="1">FALSE</definedName>
    <definedName name="HTML_LineBefore" hidden="1">FALSE</definedName>
    <definedName name="HTML_Name" hidden="1">"Stephanie Battles"</definedName>
    <definedName name="HTML_OBDlg2" hidden="1">TRUE</definedName>
    <definedName name="HTML_OBDlg4" hidden="1">TRUE</definedName>
    <definedName name="HTML_OS" hidden="1">0</definedName>
    <definedName name="HTML_PathFile" hidden="1">"C:\WEBSHARE\WWWROOT\efficiency\spreadsheets\MyHTML.htm"</definedName>
    <definedName name="HTML_Title" hidden="1">"Total Square Feet in U.S. Housing Units"</definedName>
    <definedName name="index_label">[2]General_inputs!$L$6</definedName>
    <definedName name="index_label2">[2]General_inputs!$L$7</definedName>
    <definedName name="Print_Area_MI">[3]Price!#REF!</definedName>
    <definedName name="QtrData">'[4]Authnot Prelim'!#REF!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6" i="9" l="1"/>
  <c r="AA6" i="9"/>
  <c r="AD6" i="9"/>
  <c r="AM6" i="9"/>
  <c r="L7" i="9"/>
  <c r="U7" i="9"/>
  <c r="X7" i="9"/>
  <c r="AG7" i="9"/>
  <c r="AJ7" i="9"/>
  <c r="O8" i="9"/>
  <c r="R8" i="9"/>
  <c r="AA8" i="9"/>
  <c r="AD8" i="9"/>
  <c r="AM8" i="9"/>
  <c r="L9" i="9"/>
  <c r="U9" i="9"/>
  <c r="X9" i="9"/>
  <c r="AG9" i="9"/>
  <c r="AJ9" i="9"/>
  <c r="O10" i="9"/>
  <c r="AA10" i="9"/>
  <c r="AM10" i="9"/>
  <c r="L11" i="9"/>
  <c r="U11" i="9"/>
  <c r="X11" i="9"/>
  <c r="AG11" i="9"/>
  <c r="AJ11" i="9"/>
  <c r="O12" i="9"/>
  <c r="R12" i="9"/>
  <c r="AA12" i="9"/>
  <c r="AD12" i="9"/>
  <c r="AM12" i="9"/>
  <c r="O14" i="9"/>
  <c r="R14" i="9"/>
  <c r="AA14" i="9"/>
  <c r="AD14" i="9"/>
  <c r="AM14" i="9"/>
  <c r="L15" i="9"/>
  <c r="U15" i="9"/>
  <c r="X15" i="9"/>
  <c r="AG15" i="9"/>
  <c r="AJ15" i="9"/>
  <c r="R16" i="9"/>
  <c r="AD16" i="9"/>
  <c r="L17" i="9"/>
  <c r="U17" i="9"/>
  <c r="X17" i="9"/>
  <c r="AG17" i="9"/>
  <c r="AJ17" i="9"/>
  <c r="O18" i="9"/>
  <c r="R18" i="9"/>
  <c r="AA18" i="9"/>
  <c r="AD18" i="9"/>
  <c r="AM18" i="9"/>
  <c r="L19" i="9"/>
  <c r="U19" i="9"/>
  <c r="X19" i="9"/>
  <c r="AG19" i="9"/>
  <c r="AJ19" i="9"/>
  <c r="O20" i="9"/>
  <c r="R20" i="9"/>
  <c r="AA20" i="9"/>
  <c r="AD20" i="9"/>
  <c r="AM20" i="9"/>
  <c r="L21" i="9"/>
  <c r="U21" i="9"/>
  <c r="X21" i="9"/>
  <c r="AG21" i="9"/>
  <c r="AJ21" i="9"/>
  <c r="O22" i="9"/>
  <c r="AA22" i="9"/>
  <c r="AM22" i="9"/>
  <c r="L23" i="9"/>
  <c r="U23" i="9"/>
  <c r="X23" i="9"/>
  <c r="AG23" i="9"/>
  <c r="AJ23" i="9"/>
  <c r="AO23" i="9"/>
  <c r="BF25" i="16"/>
  <c r="BE25" i="16"/>
  <c r="AN23" i="9" s="1"/>
  <c r="BD25" i="16"/>
  <c r="AM23" i="9" s="1"/>
  <c r="BC25" i="16"/>
  <c r="AL23" i="9" s="1"/>
  <c r="BB25" i="16"/>
  <c r="AK23" i="9" s="1"/>
  <c r="BA25" i="16"/>
  <c r="AZ25" i="16"/>
  <c r="AI23" i="9" s="1"/>
  <c r="AY25" i="16"/>
  <c r="AH23" i="9" s="1"/>
  <c r="AX25" i="16"/>
  <c r="AW25" i="16"/>
  <c r="AF23" i="9" s="1"/>
  <c r="AV25" i="16"/>
  <c r="AE23" i="9" s="1"/>
  <c r="AU25" i="16"/>
  <c r="AD23" i="9" s="1"/>
  <c r="AT25" i="16"/>
  <c r="AC23" i="9" s="1"/>
  <c r="AS25" i="16"/>
  <c r="AB23" i="9" s="1"/>
  <c r="AR25" i="16"/>
  <c r="AA23" i="9" s="1"/>
  <c r="AQ25" i="16"/>
  <c r="Z23" i="9" s="1"/>
  <c r="AP25" i="16"/>
  <c r="Y23" i="9" s="1"/>
  <c r="AO25" i="16"/>
  <c r="AN25" i="16"/>
  <c r="W23" i="9" s="1"/>
  <c r="AM25" i="16"/>
  <c r="V23" i="9" s="1"/>
  <c r="AL25" i="16"/>
  <c r="AK25" i="16"/>
  <c r="T23" i="9" s="1"/>
  <c r="AJ25" i="16"/>
  <c r="S23" i="9" s="1"/>
  <c r="AI25" i="16"/>
  <c r="R23" i="9" s="1"/>
  <c r="AH25" i="16"/>
  <c r="Q23" i="9" s="1"/>
  <c r="AG25" i="16"/>
  <c r="P23" i="9" s="1"/>
  <c r="AF25" i="16"/>
  <c r="O23" i="9" s="1"/>
  <c r="AE25" i="16"/>
  <c r="N23" i="9" s="1"/>
  <c r="AD25" i="16"/>
  <c r="M23" i="9" s="1"/>
  <c r="AC25" i="16"/>
  <c r="AB25" i="16"/>
  <c r="BF24" i="16"/>
  <c r="AO22" i="9" s="1"/>
  <c r="BE24" i="16"/>
  <c r="AN22" i="9" s="1"/>
  <c r="BD24" i="16"/>
  <c r="BC24" i="16"/>
  <c r="AL22" i="9" s="1"/>
  <c r="BB24" i="16"/>
  <c r="AK22" i="9" s="1"/>
  <c r="BA24" i="16"/>
  <c r="AJ22" i="9" s="1"/>
  <c r="AZ24" i="16"/>
  <c r="AI22" i="9" s="1"/>
  <c r="AY24" i="16"/>
  <c r="AH22" i="9" s="1"/>
  <c r="AX24" i="16"/>
  <c r="AG22" i="9" s="1"/>
  <c r="AW24" i="16"/>
  <c r="AF22" i="9" s="1"/>
  <c r="AV24" i="16"/>
  <c r="AE22" i="9" s="1"/>
  <c r="AU24" i="16"/>
  <c r="AD22" i="9" s="1"/>
  <c r="AT24" i="16"/>
  <c r="AC22" i="9" s="1"/>
  <c r="AS24" i="16"/>
  <c r="AB22" i="9" s="1"/>
  <c r="AR24" i="16"/>
  <c r="AQ24" i="16"/>
  <c r="Z22" i="9" s="1"/>
  <c r="AP24" i="16"/>
  <c r="Y22" i="9" s="1"/>
  <c r="AO24" i="16"/>
  <c r="X22" i="9" s="1"/>
  <c r="AN24" i="16"/>
  <c r="W22" i="9" s="1"/>
  <c r="AM24" i="16"/>
  <c r="V22" i="9" s="1"/>
  <c r="AL24" i="16"/>
  <c r="U22" i="9" s="1"/>
  <c r="AK24" i="16"/>
  <c r="T22" i="9" s="1"/>
  <c r="AJ24" i="16"/>
  <c r="S22" i="9" s="1"/>
  <c r="AI24" i="16"/>
  <c r="R22" i="9" s="1"/>
  <c r="AH24" i="16"/>
  <c r="Q22" i="9" s="1"/>
  <c r="AG24" i="16"/>
  <c r="P22" i="9" s="1"/>
  <c r="AF24" i="16"/>
  <c r="AE24" i="16"/>
  <c r="N22" i="9" s="1"/>
  <c r="AD24" i="16"/>
  <c r="M22" i="9" s="1"/>
  <c r="AC24" i="16"/>
  <c r="L22" i="9" s="1"/>
  <c r="AB24" i="16"/>
  <c r="BF23" i="16"/>
  <c r="AO21" i="9" s="1"/>
  <c r="BE23" i="16"/>
  <c r="AN21" i="9" s="1"/>
  <c r="BD23" i="16"/>
  <c r="AM21" i="9" s="1"/>
  <c r="BC23" i="16"/>
  <c r="AL21" i="9" s="1"/>
  <c r="BB23" i="16"/>
  <c r="AK21" i="9" s="1"/>
  <c r="BA23" i="16"/>
  <c r="AZ23" i="16"/>
  <c r="AI21" i="9" s="1"/>
  <c r="AY23" i="16"/>
  <c r="AH21" i="9" s="1"/>
  <c r="AX23" i="16"/>
  <c r="AW23" i="16"/>
  <c r="AF21" i="9" s="1"/>
  <c r="AV23" i="16"/>
  <c r="AE21" i="9" s="1"/>
  <c r="AU23" i="16"/>
  <c r="AD21" i="9" s="1"/>
  <c r="AT23" i="16"/>
  <c r="AC21" i="9" s="1"/>
  <c r="AS23" i="16"/>
  <c r="AB21" i="9" s="1"/>
  <c r="AR23" i="16"/>
  <c r="AA21" i="9" s="1"/>
  <c r="AQ23" i="16"/>
  <c r="Z21" i="9" s="1"/>
  <c r="AP23" i="16"/>
  <c r="Y21" i="9" s="1"/>
  <c r="AO23" i="16"/>
  <c r="AN23" i="16"/>
  <c r="W21" i="9" s="1"/>
  <c r="AM23" i="16"/>
  <c r="V21" i="9" s="1"/>
  <c r="AL23" i="16"/>
  <c r="AK23" i="16"/>
  <c r="T21" i="9" s="1"/>
  <c r="AJ23" i="16"/>
  <c r="S21" i="9" s="1"/>
  <c r="AI23" i="16"/>
  <c r="R21" i="9" s="1"/>
  <c r="AH23" i="16"/>
  <c r="Q21" i="9" s="1"/>
  <c r="AG23" i="16"/>
  <c r="P21" i="9" s="1"/>
  <c r="AF23" i="16"/>
  <c r="O21" i="9" s="1"/>
  <c r="AE23" i="16"/>
  <c r="N21" i="9" s="1"/>
  <c r="AD23" i="16"/>
  <c r="M21" i="9" s="1"/>
  <c r="AC23" i="16"/>
  <c r="AB23" i="16"/>
  <c r="BF22" i="16"/>
  <c r="AO20" i="9" s="1"/>
  <c r="BE22" i="16"/>
  <c r="AN20" i="9" s="1"/>
  <c r="BD22" i="16"/>
  <c r="BC22" i="16"/>
  <c r="AL20" i="9" s="1"/>
  <c r="BB22" i="16"/>
  <c r="AK20" i="9" s="1"/>
  <c r="BA22" i="16"/>
  <c r="AJ20" i="9" s="1"/>
  <c r="AZ22" i="16"/>
  <c r="AI20" i="9" s="1"/>
  <c r="AY22" i="16"/>
  <c r="AH20" i="9" s="1"/>
  <c r="AX22" i="16"/>
  <c r="AG20" i="9" s="1"/>
  <c r="AW22" i="16"/>
  <c r="AF20" i="9" s="1"/>
  <c r="AV22" i="16"/>
  <c r="AE20" i="9" s="1"/>
  <c r="AU22" i="16"/>
  <c r="AT22" i="16"/>
  <c r="AC20" i="9" s="1"/>
  <c r="AS22" i="16"/>
  <c r="AB20" i="9" s="1"/>
  <c r="AR22" i="16"/>
  <c r="AQ22" i="16"/>
  <c r="Z20" i="9" s="1"/>
  <c r="AP22" i="16"/>
  <c r="Y20" i="9" s="1"/>
  <c r="AO22" i="16"/>
  <c r="X20" i="9" s="1"/>
  <c r="AN22" i="16"/>
  <c r="W20" i="9" s="1"/>
  <c r="AM22" i="16"/>
  <c r="V20" i="9" s="1"/>
  <c r="AL22" i="16"/>
  <c r="U20" i="9" s="1"/>
  <c r="AK22" i="16"/>
  <c r="T20" i="9" s="1"/>
  <c r="AJ22" i="16"/>
  <c r="S20" i="9" s="1"/>
  <c r="AI22" i="16"/>
  <c r="AH22" i="16"/>
  <c r="Q20" i="9" s="1"/>
  <c r="AG22" i="16"/>
  <c r="P20" i="9" s="1"/>
  <c r="AF22" i="16"/>
  <c r="AE22" i="16"/>
  <c r="N20" i="9" s="1"/>
  <c r="AD22" i="16"/>
  <c r="M20" i="9" s="1"/>
  <c r="AC22" i="16"/>
  <c r="L20" i="9" s="1"/>
  <c r="AB22" i="16"/>
  <c r="BF21" i="16"/>
  <c r="AO19" i="9" s="1"/>
  <c r="BE21" i="16"/>
  <c r="AN19" i="9" s="1"/>
  <c r="BD21" i="16"/>
  <c r="AM19" i="9" s="1"/>
  <c r="BC21" i="16"/>
  <c r="AL19" i="9" s="1"/>
  <c r="BB21" i="16"/>
  <c r="AK19" i="9" s="1"/>
  <c r="BA21" i="16"/>
  <c r="AZ21" i="16"/>
  <c r="AI19" i="9" s="1"/>
  <c r="AY21" i="16"/>
  <c r="AH19" i="9" s="1"/>
  <c r="AX21" i="16"/>
  <c r="AW21" i="16"/>
  <c r="AF19" i="9" s="1"/>
  <c r="AV21" i="16"/>
  <c r="AE19" i="9" s="1"/>
  <c r="AU21" i="16"/>
  <c r="AD19" i="9" s="1"/>
  <c r="AT21" i="16"/>
  <c r="AC19" i="9" s="1"/>
  <c r="AS21" i="16"/>
  <c r="AB19" i="9" s="1"/>
  <c r="AR21" i="16"/>
  <c r="AA19" i="9" s="1"/>
  <c r="AQ21" i="16"/>
  <c r="Z19" i="9" s="1"/>
  <c r="AP21" i="16"/>
  <c r="Y19" i="9" s="1"/>
  <c r="AO21" i="16"/>
  <c r="AN21" i="16"/>
  <c r="W19" i="9" s="1"/>
  <c r="AM21" i="16"/>
  <c r="V19" i="9" s="1"/>
  <c r="AL21" i="16"/>
  <c r="AK21" i="16"/>
  <c r="T19" i="9" s="1"/>
  <c r="AJ21" i="16"/>
  <c r="S19" i="9" s="1"/>
  <c r="AI21" i="16"/>
  <c r="R19" i="9" s="1"/>
  <c r="AH21" i="16"/>
  <c r="Q19" i="9" s="1"/>
  <c r="AG21" i="16"/>
  <c r="P19" i="9" s="1"/>
  <c r="AF21" i="16"/>
  <c r="O19" i="9" s="1"/>
  <c r="AE21" i="16"/>
  <c r="N19" i="9" s="1"/>
  <c r="AD21" i="16"/>
  <c r="M19" i="9" s="1"/>
  <c r="AC21" i="16"/>
  <c r="AB21" i="16"/>
  <c r="BF20" i="16"/>
  <c r="AO18" i="9" s="1"/>
  <c r="BE20" i="16"/>
  <c r="AN18" i="9" s="1"/>
  <c r="BD20" i="16"/>
  <c r="BC20" i="16"/>
  <c r="AL18" i="9" s="1"/>
  <c r="BB20" i="16"/>
  <c r="AK18" i="9" s="1"/>
  <c r="BA20" i="16"/>
  <c r="AJ18" i="9" s="1"/>
  <c r="AZ20" i="16"/>
  <c r="AI18" i="9" s="1"/>
  <c r="AY20" i="16"/>
  <c r="AH18" i="9" s="1"/>
  <c r="AX20" i="16"/>
  <c r="AG18" i="9" s="1"/>
  <c r="AW20" i="16"/>
  <c r="AF18" i="9" s="1"/>
  <c r="AV20" i="16"/>
  <c r="AE18" i="9" s="1"/>
  <c r="AU20" i="16"/>
  <c r="AT20" i="16"/>
  <c r="AC18" i="9" s="1"/>
  <c r="AS20" i="16"/>
  <c r="AB18" i="9" s="1"/>
  <c r="AR20" i="16"/>
  <c r="AQ20" i="16"/>
  <c r="Z18" i="9" s="1"/>
  <c r="AP20" i="16"/>
  <c r="Y18" i="9" s="1"/>
  <c r="AO20" i="16"/>
  <c r="X18" i="9" s="1"/>
  <c r="AN20" i="16"/>
  <c r="W18" i="9" s="1"/>
  <c r="AM20" i="16"/>
  <c r="V18" i="9" s="1"/>
  <c r="AL20" i="16"/>
  <c r="U18" i="9" s="1"/>
  <c r="AK20" i="16"/>
  <c r="T18" i="9" s="1"/>
  <c r="AJ20" i="16"/>
  <c r="S18" i="9" s="1"/>
  <c r="AI20" i="16"/>
  <c r="AH20" i="16"/>
  <c r="Q18" i="9" s="1"/>
  <c r="AG20" i="16"/>
  <c r="P18" i="9" s="1"/>
  <c r="AF20" i="16"/>
  <c r="AE20" i="16"/>
  <c r="N18" i="9" s="1"/>
  <c r="AD20" i="16"/>
  <c r="M18" i="9" s="1"/>
  <c r="AC20" i="16"/>
  <c r="L18" i="9" s="1"/>
  <c r="AB20" i="16"/>
  <c r="BF19" i="16"/>
  <c r="AO17" i="9" s="1"/>
  <c r="BE19" i="16"/>
  <c r="AN17" i="9" s="1"/>
  <c r="BD19" i="16"/>
  <c r="AM17" i="9" s="1"/>
  <c r="BC19" i="16"/>
  <c r="AL17" i="9" s="1"/>
  <c r="BB19" i="16"/>
  <c r="AK17" i="9" s="1"/>
  <c r="BA19" i="16"/>
  <c r="AZ19" i="16"/>
  <c r="AI17" i="9" s="1"/>
  <c r="AY19" i="16"/>
  <c r="AH17" i="9" s="1"/>
  <c r="AX19" i="16"/>
  <c r="AW19" i="16"/>
  <c r="AF17" i="9" s="1"/>
  <c r="AV19" i="16"/>
  <c r="AE17" i="9" s="1"/>
  <c r="AU19" i="16"/>
  <c r="AD17" i="9" s="1"/>
  <c r="AT19" i="16"/>
  <c r="AC17" i="9" s="1"/>
  <c r="AS19" i="16"/>
  <c r="AB17" i="9" s="1"/>
  <c r="AR19" i="16"/>
  <c r="AA17" i="9" s="1"/>
  <c r="AQ19" i="16"/>
  <c r="Z17" i="9" s="1"/>
  <c r="AP19" i="16"/>
  <c r="Y17" i="9" s="1"/>
  <c r="AO19" i="16"/>
  <c r="AN19" i="16"/>
  <c r="W17" i="9" s="1"/>
  <c r="AM19" i="16"/>
  <c r="V17" i="9" s="1"/>
  <c r="AL19" i="16"/>
  <c r="AK19" i="16"/>
  <c r="T17" i="9" s="1"/>
  <c r="AJ19" i="16"/>
  <c r="S17" i="9" s="1"/>
  <c r="AI19" i="16"/>
  <c r="R17" i="9" s="1"/>
  <c r="AH19" i="16"/>
  <c r="Q17" i="9" s="1"/>
  <c r="AG19" i="16"/>
  <c r="P17" i="9" s="1"/>
  <c r="AF19" i="16"/>
  <c r="O17" i="9" s="1"/>
  <c r="AE19" i="16"/>
  <c r="N17" i="9" s="1"/>
  <c r="AD19" i="16"/>
  <c r="M17" i="9" s="1"/>
  <c r="AC19" i="16"/>
  <c r="AB19" i="16"/>
  <c r="BF18" i="16"/>
  <c r="AO16" i="9" s="1"/>
  <c r="BE18" i="16"/>
  <c r="AN16" i="9" s="1"/>
  <c r="BD18" i="16"/>
  <c r="AM16" i="9" s="1"/>
  <c r="BC18" i="16"/>
  <c r="AL16" i="9" s="1"/>
  <c r="BB18" i="16"/>
  <c r="AK16" i="9" s="1"/>
  <c r="BA18" i="16"/>
  <c r="AJ16" i="9" s="1"/>
  <c r="AZ18" i="16"/>
  <c r="AI16" i="9" s="1"/>
  <c r="AY18" i="16"/>
  <c r="AH16" i="9" s="1"/>
  <c r="AX18" i="16"/>
  <c r="AG16" i="9" s="1"/>
  <c r="AW18" i="16"/>
  <c r="AF16" i="9" s="1"/>
  <c r="AV18" i="16"/>
  <c r="AE16" i="9" s="1"/>
  <c r="AU18" i="16"/>
  <c r="AT18" i="16"/>
  <c r="AC16" i="9" s="1"/>
  <c r="AS18" i="16"/>
  <c r="AB16" i="9" s="1"/>
  <c r="AR18" i="16"/>
  <c r="AA16" i="9" s="1"/>
  <c r="AQ18" i="16"/>
  <c r="Z16" i="9" s="1"/>
  <c r="AP18" i="16"/>
  <c r="Y16" i="9" s="1"/>
  <c r="AO18" i="16"/>
  <c r="X16" i="9" s="1"/>
  <c r="AN18" i="16"/>
  <c r="W16" i="9" s="1"/>
  <c r="AM18" i="16"/>
  <c r="V16" i="9" s="1"/>
  <c r="AL18" i="16"/>
  <c r="U16" i="9" s="1"/>
  <c r="AK18" i="16"/>
  <c r="T16" i="9" s="1"/>
  <c r="AJ18" i="16"/>
  <c r="S16" i="9" s="1"/>
  <c r="AI18" i="16"/>
  <c r="AH18" i="16"/>
  <c r="Q16" i="9" s="1"/>
  <c r="AG18" i="16"/>
  <c r="P16" i="9" s="1"/>
  <c r="AF18" i="16"/>
  <c r="O16" i="9" s="1"/>
  <c r="AE18" i="16"/>
  <c r="N16" i="9" s="1"/>
  <c r="AD18" i="16"/>
  <c r="M16" i="9" s="1"/>
  <c r="AC18" i="16"/>
  <c r="L16" i="9" s="1"/>
  <c r="AB18" i="16"/>
  <c r="BF17" i="16"/>
  <c r="AO15" i="9" s="1"/>
  <c r="BE17" i="16"/>
  <c r="AN15" i="9" s="1"/>
  <c r="BD17" i="16"/>
  <c r="AM15" i="9" s="1"/>
  <c r="BC17" i="16"/>
  <c r="AL15" i="9" s="1"/>
  <c r="BB17" i="16"/>
  <c r="AK15" i="9" s="1"/>
  <c r="BA17" i="16"/>
  <c r="AZ17" i="16"/>
  <c r="AI15" i="9" s="1"/>
  <c r="AY17" i="16"/>
  <c r="AH15" i="9" s="1"/>
  <c r="AX17" i="16"/>
  <c r="AW17" i="16"/>
  <c r="AF15" i="9" s="1"/>
  <c r="AV17" i="16"/>
  <c r="AE15" i="9" s="1"/>
  <c r="AU17" i="16"/>
  <c r="AD15" i="9" s="1"/>
  <c r="AT17" i="16"/>
  <c r="AC15" i="9" s="1"/>
  <c r="AS17" i="16"/>
  <c r="AB15" i="9" s="1"/>
  <c r="AR17" i="16"/>
  <c r="AA15" i="9" s="1"/>
  <c r="AQ17" i="16"/>
  <c r="Z15" i="9" s="1"/>
  <c r="AP17" i="16"/>
  <c r="Y15" i="9" s="1"/>
  <c r="AO17" i="16"/>
  <c r="AN17" i="16"/>
  <c r="W15" i="9" s="1"/>
  <c r="AM17" i="16"/>
  <c r="V15" i="9" s="1"/>
  <c r="AL17" i="16"/>
  <c r="AK17" i="16"/>
  <c r="T15" i="9" s="1"/>
  <c r="AJ17" i="16"/>
  <c r="S15" i="9" s="1"/>
  <c r="AI17" i="16"/>
  <c r="R15" i="9" s="1"/>
  <c r="AH17" i="16"/>
  <c r="Q15" i="9" s="1"/>
  <c r="AG17" i="16"/>
  <c r="P15" i="9" s="1"/>
  <c r="AF17" i="16"/>
  <c r="O15" i="9" s="1"/>
  <c r="AE17" i="16"/>
  <c r="N15" i="9" s="1"/>
  <c r="AD17" i="16"/>
  <c r="M15" i="9" s="1"/>
  <c r="AC17" i="16"/>
  <c r="AB17" i="16"/>
  <c r="BF16" i="16"/>
  <c r="AO14" i="9" s="1"/>
  <c r="BE16" i="16"/>
  <c r="AN14" i="9" s="1"/>
  <c r="BD16" i="16"/>
  <c r="BC16" i="16"/>
  <c r="AL14" i="9" s="1"/>
  <c r="BB16" i="16"/>
  <c r="AK14" i="9" s="1"/>
  <c r="BA16" i="16"/>
  <c r="AJ14" i="9" s="1"/>
  <c r="AZ16" i="16"/>
  <c r="AI14" i="9" s="1"/>
  <c r="AY16" i="16"/>
  <c r="AH14" i="9" s="1"/>
  <c r="AX16" i="16"/>
  <c r="AG14" i="9" s="1"/>
  <c r="AW16" i="16"/>
  <c r="AF14" i="9" s="1"/>
  <c r="AV16" i="16"/>
  <c r="AE14" i="9" s="1"/>
  <c r="AU16" i="16"/>
  <c r="AT16" i="16"/>
  <c r="AC14" i="9" s="1"/>
  <c r="AS16" i="16"/>
  <c r="AB14" i="9" s="1"/>
  <c r="AR16" i="16"/>
  <c r="AQ16" i="16"/>
  <c r="Z14" i="9" s="1"/>
  <c r="AP16" i="16"/>
  <c r="Y14" i="9" s="1"/>
  <c r="AO16" i="16"/>
  <c r="X14" i="9" s="1"/>
  <c r="AN16" i="16"/>
  <c r="W14" i="9" s="1"/>
  <c r="AM16" i="16"/>
  <c r="V14" i="9" s="1"/>
  <c r="AL16" i="16"/>
  <c r="U14" i="9" s="1"/>
  <c r="AK16" i="16"/>
  <c r="T14" i="9" s="1"/>
  <c r="AJ16" i="16"/>
  <c r="S14" i="9" s="1"/>
  <c r="AI16" i="16"/>
  <c r="AH16" i="16"/>
  <c r="Q14" i="9" s="1"/>
  <c r="AG16" i="16"/>
  <c r="P14" i="9" s="1"/>
  <c r="AF16" i="16"/>
  <c r="AE16" i="16"/>
  <c r="N14" i="9" s="1"/>
  <c r="AD16" i="16"/>
  <c r="M14" i="9" s="1"/>
  <c r="AC16" i="16"/>
  <c r="L14" i="9" s="1"/>
  <c r="AB16" i="16"/>
  <c r="BF15" i="16"/>
  <c r="AO13" i="9" s="1"/>
  <c r="BE15" i="16"/>
  <c r="AN13" i="9" s="1"/>
  <c r="BD15" i="16"/>
  <c r="AM13" i="9" s="1"/>
  <c r="BC15" i="16"/>
  <c r="AL13" i="9" s="1"/>
  <c r="BB15" i="16"/>
  <c r="AK13" i="9" s="1"/>
  <c r="BA15" i="16"/>
  <c r="AJ13" i="9" s="1"/>
  <c r="AZ15" i="16"/>
  <c r="AI13" i="9" s="1"/>
  <c r="AY15" i="16"/>
  <c r="AH13" i="9" s="1"/>
  <c r="AX15" i="16"/>
  <c r="AG13" i="9" s="1"/>
  <c r="AW15" i="16"/>
  <c r="AF13" i="9" s="1"/>
  <c r="AV15" i="16"/>
  <c r="AE13" i="9" s="1"/>
  <c r="AU15" i="16"/>
  <c r="AD13" i="9" s="1"/>
  <c r="AT15" i="16"/>
  <c r="AC13" i="9" s="1"/>
  <c r="AS15" i="16"/>
  <c r="AB13" i="9" s="1"/>
  <c r="AR15" i="16"/>
  <c r="AA13" i="9" s="1"/>
  <c r="AQ15" i="16"/>
  <c r="Z13" i="9" s="1"/>
  <c r="AP15" i="16"/>
  <c r="Y13" i="9" s="1"/>
  <c r="AO15" i="16"/>
  <c r="X13" i="9" s="1"/>
  <c r="AN15" i="16"/>
  <c r="W13" i="9" s="1"/>
  <c r="AM15" i="16"/>
  <c r="V13" i="9" s="1"/>
  <c r="AL15" i="16"/>
  <c r="U13" i="9" s="1"/>
  <c r="AK15" i="16"/>
  <c r="T13" i="9" s="1"/>
  <c r="AJ15" i="16"/>
  <c r="S13" i="9" s="1"/>
  <c r="AI15" i="16"/>
  <c r="R13" i="9" s="1"/>
  <c r="AH15" i="16"/>
  <c r="Q13" i="9" s="1"/>
  <c r="AG15" i="16"/>
  <c r="P13" i="9" s="1"/>
  <c r="AF15" i="16"/>
  <c r="O13" i="9" s="1"/>
  <c r="AE15" i="16"/>
  <c r="N13" i="9" s="1"/>
  <c r="AD15" i="16"/>
  <c r="M13" i="9" s="1"/>
  <c r="AC15" i="16"/>
  <c r="L13" i="9" s="1"/>
  <c r="AB15" i="16"/>
  <c r="BF14" i="16"/>
  <c r="AO12" i="9" s="1"/>
  <c r="BE14" i="16"/>
  <c r="AN12" i="9" s="1"/>
  <c r="BD14" i="16"/>
  <c r="BC14" i="16"/>
  <c r="AL12" i="9" s="1"/>
  <c r="BB14" i="16"/>
  <c r="AK12" i="9" s="1"/>
  <c r="BA14" i="16"/>
  <c r="AJ12" i="9" s="1"/>
  <c r="AZ14" i="16"/>
  <c r="AI12" i="9" s="1"/>
  <c r="AY14" i="16"/>
  <c r="AH12" i="9" s="1"/>
  <c r="AX14" i="16"/>
  <c r="AG12" i="9" s="1"/>
  <c r="AW14" i="16"/>
  <c r="AF12" i="9" s="1"/>
  <c r="AV14" i="16"/>
  <c r="AE12" i="9" s="1"/>
  <c r="AU14" i="16"/>
  <c r="AT14" i="16"/>
  <c r="AC12" i="9" s="1"/>
  <c r="AS14" i="16"/>
  <c r="AB12" i="9" s="1"/>
  <c r="AR14" i="16"/>
  <c r="AQ14" i="16"/>
  <c r="Z12" i="9" s="1"/>
  <c r="AP14" i="16"/>
  <c r="Y12" i="9" s="1"/>
  <c r="AO14" i="16"/>
  <c r="X12" i="9" s="1"/>
  <c r="AN14" i="16"/>
  <c r="W12" i="9" s="1"/>
  <c r="AM14" i="16"/>
  <c r="V12" i="9" s="1"/>
  <c r="AL14" i="16"/>
  <c r="U12" i="9" s="1"/>
  <c r="AK14" i="16"/>
  <c r="T12" i="9" s="1"/>
  <c r="AJ14" i="16"/>
  <c r="S12" i="9" s="1"/>
  <c r="AI14" i="16"/>
  <c r="AH14" i="16"/>
  <c r="Q12" i="9" s="1"/>
  <c r="AG14" i="16"/>
  <c r="P12" i="9" s="1"/>
  <c r="AF14" i="16"/>
  <c r="AE14" i="16"/>
  <c r="N12" i="9" s="1"/>
  <c r="AD14" i="16"/>
  <c r="M12" i="9" s="1"/>
  <c r="AC14" i="16"/>
  <c r="L12" i="9" s="1"/>
  <c r="AB14" i="16"/>
  <c r="BF13" i="16"/>
  <c r="AO11" i="9" s="1"/>
  <c r="BE13" i="16"/>
  <c r="AN11" i="9" s="1"/>
  <c r="BD13" i="16"/>
  <c r="AM11" i="9" s="1"/>
  <c r="BC13" i="16"/>
  <c r="AL11" i="9" s="1"/>
  <c r="BB13" i="16"/>
  <c r="AK11" i="9" s="1"/>
  <c r="BA13" i="16"/>
  <c r="AZ13" i="16"/>
  <c r="AI11" i="9" s="1"/>
  <c r="AY13" i="16"/>
  <c r="AH11" i="9" s="1"/>
  <c r="AX13" i="16"/>
  <c r="AW13" i="16"/>
  <c r="AF11" i="9" s="1"/>
  <c r="AV13" i="16"/>
  <c r="AE11" i="9" s="1"/>
  <c r="AU13" i="16"/>
  <c r="AD11" i="9" s="1"/>
  <c r="AT13" i="16"/>
  <c r="AC11" i="9" s="1"/>
  <c r="AS13" i="16"/>
  <c r="AB11" i="9" s="1"/>
  <c r="AR13" i="16"/>
  <c r="AA11" i="9" s="1"/>
  <c r="AQ13" i="16"/>
  <c r="Z11" i="9" s="1"/>
  <c r="AP13" i="16"/>
  <c r="Y11" i="9" s="1"/>
  <c r="AO13" i="16"/>
  <c r="AN13" i="16"/>
  <c r="W11" i="9" s="1"/>
  <c r="AM13" i="16"/>
  <c r="V11" i="9" s="1"/>
  <c r="AL13" i="16"/>
  <c r="AK13" i="16"/>
  <c r="T11" i="9" s="1"/>
  <c r="AJ13" i="16"/>
  <c r="S11" i="9" s="1"/>
  <c r="AI13" i="16"/>
  <c r="R11" i="9" s="1"/>
  <c r="AH13" i="16"/>
  <c r="Q11" i="9" s="1"/>
  <c r="AG13" i="16"/>
  <c r="P11" i="9" s="1"/>
  <c r="AF13" i="16"/>
  <c r="O11" i="9" s="1"/>
  <c r="AE13" i="16"/>
  <c r="N11" i="9" s="1"/>
  <c r="AD13" i="16"/>
  <c r="M11" i="9" s="1"/>
  <c r="AC13" i="16"/>
  <c r="AB13" i="16"/>
  <c r="BF12" i="16"/>
  <c r="AO10" i="9" s="1"/>
  <c r="BE12" i="16"/>
  <c r="AN10" i="9" s="1"/>
  <c r="BD12" i="16"/>
  <c r="BC12" i="16"/>
  <c r="AL10" i="9" s="1"/>
  <c r="BB12" i="16"/>
  <c r="AK10" i="9" s="1"/>
  <c r="BA12" i="16"/>
  <c r="AJ10" i="9" s="1"/>
  <c r="AZ12" i="16"/>
  <c r="AI10" i="9" s="1"/>
  <c r="AY12" i="16"/>
  <c r="AH10" i="9" s="1"/>
  <c r="AX12" i="16"/>
  <c r="AG10" i="9" s="1"/>
  <c r="AW12" i="16"/>
  <c r="AF10" i="9" s="1"/>
  <c r="AV12" i="16"/>
  <c r="AE10" i="9" s="1"/>
  <c r="AU12" i="16"/>
  <c r="AD10" i="9" s="1"/>
  <c r="AT12" i="16"/>
  <c r="AC10" i="9" s="1"/>
  <c r="AS12" i="16"/>
  <c r="AB10" i="9" s="1"/>
  <c r="AR12" i="16"/>
  <c r="AQ12" i="16"/>
  <c r="Z10" i="9" s="1"/>
  <c r="AP12" i="16"/>
  <c r="Y10" i="9" s="1"/>
  <c r="AO12" i="16"/>
  <c r="X10" i="9" s="1"/>
  <c r="AN12" i="16"/>
  <c r="W10" i="9" s="1"/>
  <c r="AM12" i="16"/>
  <c r="V10" i="9" s="1"/>
  <c r="AL12" i="16"/>
  <c r="U10" i="9" s="1"/>
  <c r="AK12" i="16"/>
  <c r="T10" i="9" s="1"/>
  <c r="AJ12" i="16"/>
  <c r="S10" i="9" s="1"/>
  <c r="AI12" i="16"/>
  <c r="R10" i="9" s="1"/>
  <c r="AH12" i="16"/>
  <c r="Q10" i="9" s="1"/>
  <c r="AG12" i="16"/>
  <c r="P10" i="9" s="1"/>
  <c r="AF12" i="16"/>
  <c r="AE12" i="16"/>
  <c r="N10" i="9" s="1"/>
  <c r="AD12" i="16"/>
  <c r="M10" i="9" s="1"/>
  <c r="AC12" i="16"/>
  <c r="L10" i="9" s="1"/>
  <c r="AB12" i="16"/>
  <c r="BF11" i="16"/>
  <c r="AO9" i="9" s="1"/>
  <c r="BE11" i="16"/>
  <c r="AN9" i="9" s="1"/>
  <c r="BD11" i="16"/>
  <c r="AM9" i="9" s="1"/>
  <c r="BC11" i="16"/>
  <c r="AL9" i="9" s="1"/>
  <c r="BB11" i="16"/>
  <c r="AK9" i="9" s="1"/>
  <c r="BA11" i="16"/>
  <c r="AZ11" i="16"/>
  <c r="AI9" i="9" s="1"/>
  <c r="AY11" i="16"/>
  <c r="AH9" i="9" s="1"/>
  <c r="AX11" i="16"/>
  <c r="AW11" i="16"/>
  <c r="AF9" i="9" s="1"/>
  <c r="AV11" i="16"/>
  <c r="AE9" i="9" s="1"/>
  <c r="AU11" i="16"/>
  <c r="AD9" i="9" s="1"/>
  <c r="AT11" i="16"/>
  <c r="AC9" i="9" s="1"/>
  <c r="AS11" i="16"/>
  <c r="AB9" i="9" s="1"/>
  <c r="AR11" i="16"/>
  <c r="AA9" i="9" s="1"/>
  <c r="AQ11" i="16"/>
  <c r="Z9" i="9" s="1"/>
  <c r="AP11" i="16"/>
  <c r="Y9" i="9" s="1"/>
  <c r="AO11" i="16"/>
  <c r="AN11" i="16"/>
  <c r="W9" i="9" s="1"/>
  <c r="AM11" i="16"/>
  <c r="V9" i="9" s="1"/>
  <c r="AL11" i="16"/>
  <c r="AK11" i="16"/>
  <c r="T9" i="9" s="1"/>
  <c r="AJ11" i="16"/>
  <c r="S9" i="9" s="1"/>
  <c r="AI11" i="16"/>
  <c r="R9" i="9" s="1"/>
  <c r="AH11" i="16"/>
  <c r="Q9" i="9" s="1"/>
  <c r="AG11" i="16"/>
  <c r="P9" i="9" s="1"/>
  <c r="AF11" i="16"/>
  <c r="O9" i="9" s="1"/>
  <c r="AE11" i="16"/>
  <c r="N9" i="9" s="1"/>
  <c r="AD11" i="16"/>
  <c r="M9" i="9" s="1"/>
  <c r="AC11" i="16"/>
  <c r="AB11" i="16"/>
  <c r="BF10" i="16"/>
  <c r="AO8" i="9" s="1"/>
  <c r="BE10" i="16"/>
  <c r="AN8" i="9" s="1"/>
  <c r="BD10" i="16"/>
  <c r="BC10" i="16"/>
  <c r="AL8" i="9" s="1"/>
  <c r="BB10" i="16"/>
  <c r="AK8" i="9" s="1"/>
  <c r="BA10" i="16"/>
  <c r="AJ8" i="9" s="1"/>
  <c r="AZ10" i="16"/>
  <c r="AI8" i="9" s="1"/>
  <c r="AY10" i="16"/>
  <c r="AH8" i="9" s="1"/>
  <c r="AX10" i="16"/>
  <c r="AG8" i="9" s="1"/>
  <c r="AW10" i="16"/>
  <c r="AF8" i="9" s="1"/>
  <c r="AV10" i="16"/>
  <c r="AE8" i="9" s="1"/>
  <c r="AU10" i="16"/>
  <c r="AT10" i="16"/>
  <c r="AC8" i="9" s="1"/>
  <c r="AS10" i="16"/>
  <c r="AB8" i="9" s="1"/>
  <c r="AR10" i="16"/>
  <c r="AQ10" i="16"/>
  <c r="Z8" i="9" s="1"/>
  <c r="AP10" i="16"/>
  <c r="Y8" i="9" s="1"/>
  <c r="AO10" i="16"/>
  <c r="X8" i="9" s="1"/>
  <c r="AN10" i="16"/>
  <c r="W8" i="9" s="1"/>
  <c r="AM10" i="16"/>
  <c r="V8" i="9" s="1"/>
  <c r="AL10" i="16"/>
  <c r="U8" i="9" s="1"/>
  <c r="AK10" i="16"/>
  <c r="T8" i="9" s="1"/>
  <c r="AJ10" i="16"/>
  <c r="S8" i="9" s="1"/>
  <c r="AI10" i="16"/>
  <c r="AH10" i="16"/>
  <c r="Q8" i="9" s="1"/>
  <c r="AG10" i="16"/>
  <c r="P8" i="9" s="1"/>
  <c r="AF10" i="16"/>
  <c r="AE10" i="16"/>
  <c r="N8" i="9" s="1"/>
  <c r="AD10" i="16"/>
  <c r="M8" i="9" s="1"/>
  <c r="AC10" i="16"/>
  <c r="L8" i="9" s="1"/>
  <c r="AB10" i="16"/>
  <c r="BF9" i="16"/>
  <c r="AO7" i="9" s="1"/>
  <c r="BE9" i="16"/>
  <c r="AN7" i="9" s="1"/>
  <c r="BD9" i="16"/>
  <c r="AM7" i="9" s="1"/>
  <c r="BC9" i="16"/>
  <c r="AL7" i="9" s="1"/>
  <c r="BB9" i="16"/>
  <c r="AK7" i="9" s="1"/>
  <c r="BA9" i="16"/>
  <c r="AZ9" i="16"/>
  <c r="AI7" i="9" s="1"/>
  <c r="AY9" i="16"/>
  <c r="AH7" i="9" s="1"/>
  <c r="AX9" i="16"/>
  <c r="AW9" i="16"/>
  <c r="AF7" i="9" s="1"/>
  <c r="AV9" i="16"/>
  <c r="AE7" i="9" s="1"/>
  <c r="AU9" i="16"/>
  <c r="AD7" i="9" s="1"/>
  <c r="AT9" i="16"/>
  <c r="AC7" i="9" s="1"/>
  <c r="AS9" i="16"/>
  <c r="AB7" i="9" s="1"/>
  <c r="AR9" i="16"/>
  <c r="AA7" i="9" s="1"/>
  <c r="AQ9" i="16"/>
  <c r="Z7" i="9" s="1"/>
  <c r="AP9" i="16"/>
  <c r="Y7" i="9" s="1"/>
  <c r="AO9" i="16"/>
  <c r="AN9" i="16"/>
  <c r="W7" i="9" s="1"/>
  <c r="AM9" i="16"/>
  <c r="V7" i="9" s="1"/>
  <c r="AL9" i="16"/>
  <c r="AK9" i="16"/>
  <c r="T7" i="9" s="1"/>
  <c r="AJ9" i="16"/>
  <c r="S7" i="9" s="1"/>
  <c r="AI9" i="16"/>
  <c r="R7" i="9" s="1"/>
  <c r="AH9" i="16"/>
  <c r="Q7" i="9" s="1"/>
  <c r="AG9" i="16"/>
  <c r="P7" i="9" s="1"/>
  <c r="AF9" i="16"/>
  <c r="O7" i="9" s="1"/>
  <c r="AE9" i="16"/>
  <c r="N7" i="9" s="1"/>
  <c r="AD9" i="16"/>
  <c r="M7" i="9" s="1"/>
  <c r="AC9" i="16"/>
  <c r="AB9" i="16"/>
  <c r="BF8" i="16"/>
  <c r="AO6" i="9" s="1"/>
  <c r="BE8" i="16"/>
  <c r="AN6" i="9" s="1"/>
  <c r="BD8" i="16"/>
  <c r="BC8" i="16"/>
  <c r="AL6" i="9" s="1"/>
  <c r="BB8" i="16"/>
  <c r="AK6" i="9" s="1"/>
  <c r="BA8" i="16"/>
  <c r="AJ6" i="9" s="1"/>
  <c r="AZ8" i="16"/>
  <c r="AI6" i="9" s="1"/>
  <c r="AY8" i="16"/>
  <c r="AH6" i="9" s="1"/>
  <c r="AX8" i="16"/>
  <c r="AG6" i="9" s="1"/>
  <c r="AW8" i="16"/>
  <c r="AF6" i="9" s="1"/>
  <c r="AV8" i="16"/>
  <c r="AE6" i="9" s="1"/>
  <c r="AU8" i="16"/>
  <c r="AT8" i="16"/>
  <c r="AC6" i="9" s="1"/>
  <c r="AS8" i="16"/>
  <c r="AB6" i="9" s="1"/>
  <c r="AR8" i="16"/>
  <c r="AQ8" i="16"/>
  <c r="Z6" i="9" s="1"/>
  <c r="AP8" i="16"/>
  <c r="Y6" i="9" s="1"/>
  <c r="AO8" i="16"/>
  <c r="X6" i="9" s="1"/>
  <c r="AN8" i="16"/>
  <c r="W6" i="9" s="1"/>
  <c r="AM8" i="16"/>
  <c r="V6" i="9" s="1"/>
  <c r="AL8" i="16"/>
  <c r="U6" i="9" s="1"/>
  <c r="AK8" i="16"/>
  <c r="T6" i="9" s="1"/>
  <c r="AJ8" i="16"/>
  <c r="S6" i="9" s="1"/>
  <c r="AI8" i="16"/>
  <c r="AH8" i="16"/>
  <c r="Q6" i="9" s="1"/>
  <c r="AG8" i="16"/>
  <c r="P6" i="9" s="1"/>
  <c r="AF8" i="16"/>
  <c r="O6" i="9" s="1"/>
  <c r="AE8" i="16"/>
  <c r="N6" i="9" s="1"/>
  <c r="AD8" i="16"/>
  <c r="M6" i="9" s="1"/>
  <c r="AC8" i="16"/>
  <c r="L6" i="9" s="1"/>
  <c r="AB8" i="16"/>
  <c r="AV53" i="17" l="1"/>
  <c r="AW53" i="17"/>
  <c r="AX53" i="17"/>
  <c r="AY53" i="17"/>
  <c r="AZ53" i="17"/>
  <c r="BA53" i="17"/>
  <c r="BB53" i="17"/>
  <c r="AY54" i="17"/>
  <c r="AY55" i="17"/>
  <c r="AY56" i="17"/>
  <c r="AY57" i="17"/>
  <c r="AY97" i="17"/>
  <c r="AY98" i="17"/>
  <c r="AY99" i="17"/>
  <c r="AY100" i="17"/>
  <c r="AK96" i="9" l="1"/>
  <c r="AL96" i="9"/>
  <c r="AM96" i="9"/>
  <c r="AL96" i="5"/>
  <c r="AM96" i="5"/>
  <c r="L6" i="5"/>
  <c r="M6" i="5"/>
  <c r="N6" i="5"/>
  <c r="O6" i="5"/>
  <c r="P6" i="5"/>
  <c r="Q6" i="5"/>
  <c r="R6" i="5"/>
  <c r="S6" i="5"/>
  <c r="T6" i="5"/>
  <c r="U6" i="5"/>
  <c r="V6" i="5"/>
  <c r="W6" i="5"/>
  <c r="X6" i="5"/>
  <c r="Y6" i="5"/>
  <c r="Z6" i="5"/>
  <c r="AA6" i="5"/>
  <c r="AB6" i="5"/>
  <c r="AC6" i="5"/>
  <c r="AD6" i="5"/>
  <c r="AE6" i="5"/>
  <c r="AF6" i="5"/>
  <c r="AG6" i="5"/>
  <c r="AH6" i="5"/>
  <c r="AI6" i="5"/>
  <c r="AJ6" i="5"/>
  <c r="AK6" i="5"/>
  <c r="AL6" i="5"/>
  <c r="AM6" i="5"/>
  <c r="AN6" i="5"/>
  <c r="AO6" i="5"/>
  <c r="AP6" i="5"/>
  <c r="AQ6" i="5"/>
  <c r="AR6" i="5"/>
  <c r="L7" i="5"/>
  <c r="M7" i="5"/>
  <c r="N7" i="5"/>
  <c r="O7" i="5"/>
  <c r="P7" i="5"/>
  <c r="Q7" i="5"/>
  <c r="R7" i="5"/>
  <c r="S7" i="5"/>
  <c r="T7" i="5"/>
  <c r="U7" i="5"/>
  <c r="V7" i="5"/>
  <c r="W7" i="5"/>
  <c r="X7" i="5"/>
  <c r="Y7" i="5"/>
  <c r="Z7" i="5"/>
  <c r="AA7" i="5"/>
  <c r="AB7" i="5"/>
  <c r="AC7" i="5"/>
  <c r="AD7" i="5"/>
  <c r="AE7" i="5"/>
  <c r="AF7" i="5"/>
  <c r="AG7" i="5"/>
  <c r="AH7" i="5"/>
  <c r="AI7" i="5"/>
  <c r="AJ7" i="5"/>
  <c r="AK7" i="5"/>
  <c r="AL7" i="5"/>
  <c r="AM7" i="5"/>
  <c r="AN7" i="5"/>
  <c r="AO7" i="5"/>
  <c r="AP7" i="5"/>
  <c r="AQ7" i="5"/>
  <c r="AL29" i="5" s="1"/>
  <c r="AR7" i="5"/>
  <c r="AM29" i="5" s="1"/>
  <c r="L8" i="5"/>
  <c r="M8" i="5"/>
  <c r="N8" i="5"/>
  <c r="O8" i="5"/>
  <c r="P8" i="5"/>
  <c r="Q8" i="5"/>
  <c r="R8" i="5"/>
  <c r="S8" i="5"/>
  <c r="T8" i="5"/>
  <c r="U8" i="5"/>
  <c r="V8" i="5"/>
  <c r="W8" i="5"/>
  <c r="X8" i="5"/>
  <c r="Y8" i="5"/>
  <c r="Z8" i="5"/>
  <c r="AA8" i="5"/>
  <c r="AB8" i="5"/>
  <c r="AC8" i="5"/>
  <c r="AD8" i="5"/>
  <c r="AE8" i="5"/>
  <c r="AF8" i="5"/>
  <c r="AG8" i="5"/>
  <c r="AH8" i="5"/>
  <c r="AI8" i="5"/>
  <c r="AJ8" i="5"/>
  <c r="AK8" i="5"/>
  <c r="AL8" i="5"/>
  <c r="AM8" i="5"/>
  <c r="AN8" i="5"/>
  <c r="AO8" i="5"/>
  <c r="AP8" i="5"/>
  <c r="AQ8" i="5"/>
  <c r="AL30" i="5" s="1"/>
  <c r="AR8" i="5"/>
  <c r="AM30" i="5" s="1"/>
  <c r="L9" i="5"/>
  <c r="M9" i="5"/>
  <c r="N9" i="5"/>
  <c r="O9" i="5"/>
  <c r="P9" i="5"/>
  <c r="Q9" i="5"/>
  <c r="R9" i="5"/>
  <c r="S9" i="5"/>
  <c r="T9" i="5"/>
  <c r="U9" i="5"/>
  <c r="V9" i="5"/>
  <c r="W9" i="5"/>
  <c r="X9" i="5"/>
  <c r="Y9" i="5"/>
  <c r="Z9" i="5"/>
  <c r="AA9" i="5"/>
  <c r="AB9" i="5"/>
  <c r="AC9" i="5"/>
  <c r="AD9" i="5"/>
  <c r="AE9" i="5"/>
  <c r="AF9" i="5"/>
  <c r="AG9" i="5"/>
  <c r="AH9" i="5"/>
  <c r="AI9" i="5"/>
  <c r="AJ9" i="5"/>
  <c r="AK9" i="5"/>
  <c r="AL9" i="5"/>
  <c r="AM9" i="5"/>
  <c r="AN9" i="5"/>
  <c r="AO9" i="5"/>
  <c r="AP9" i="5"/>
  <c r="AQ9" i="5"/>
  <c r="AR9"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L11" i="5"/>
  <c r="M11" i="5"/>
  <c r="N11" i="5"/>
  <c r="O11" i="5"/>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L33" i="5" s="1"/>
  <c r="AR11" i="5"/>
  <c r="AM33" i="5" s="1"/>
  <c r="L12" i="5"/>
  <c r="M12" i="5"/>
  <c r="N12" i="5"/>
  <c r="O12" i="5"/>
  <c r="P12" i="5"/>
  <c r="Q12" i="5"/>
  <c r="R12" i="5"/>
  <c r="S12" i="5"/>
  <c r="T12" i="5"/>
  <c r="U12" i="5"/>
  <c r="V12" i="5"/>
  <c r="W12" i="5"/>
  <c r="X12" i="5"/>
  <c r="Y12" i="5"/>
  <c r="Z12" i="5"/>
  <c r="AA12" i="5"/>
  <c r="AB12" i="5"/>
  <c r="AC12" i="5"/>
  <c r="AD12" i="5"/>
  <c r="AE12" i="5"/>
  <c r="AF12" i="5"/>
  <c r="AG12" i="5"/>
  <c r="AH12" i="5"/>
  <c r="AI12" i="5"/>
  <c r="AJ12" i="5"/>
  <c r="AK12" i="5"/>
  <c r="AL12" i="5"/>
  <c r="AM12" i="5"/>
  <c r="AN12" i="5"/>
  <c r="AO12" i="5"/>
  <c r="AP12" i="5"/>
  <c r="AQ12" i="5"/>
  <c r="AR12" i="5"/>
  <c r="L13" i="5"/>
  <c r="M13" i="5"/>
  <c r="N13" i="5"/>
  <c r="O13" i="5"/>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M36" i="5" s="1"/>
  <c r="AP14" i="5"/>
  <c r="AQ14" i="5"/>
  <c r="AR14"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L37" i="5" s="1"/>
  <c r="AR15" i="5"/>
  <c r="AM37" i="5" s="1"/>
  <c r="L16" i="5"/>
  <c r="M16" i="5"/>
  <c r="N16" i="5"/>
  <c r="O16" i="5"/>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L17" i="5"/>
  <c r="M17" i="5"/>
  <c r="N17" i="5"/>
  <c r="O17" i="5"/>
  <c r="P17" i="5"/>
  <c r="Q17" i="5"/>
  <c r="R17" i="5"/>
  <c r="S17" i="5"/>
  <c r="T17" i="5"/>
  <c r="U17" i="5"/>
  <c r="V17" i="5"/>
  <c r="W17" i="5"/>
  <c r="X17" i="5"/>
  <c r="Y17" i="5"/>
  <c r="Z17" i="5"/>
  <c r="AA17" i="5"/>
  <c r="AB17" i="5"/>
  <c r="AC17" i="5"/>
  <c r="AD17" i="5"/>
  <c r="AE17" i="5"/>
  <c r="AF17" i="5"/>
  <c r="AG17" i="5"/>
  <c r="AH17" i="5"/>
  <c r="AI17" i="5"/>
  <c r="AJ17" i="5"/>
  <c r="AK17" i="5"/>
  <c r="AL17" i="5"/>
  <c r="AM17" i="5"/>
  <c r="AN17" i="5"/>
  <c r="AO17" i="5"/>
  <c r="AP17" i="5"/>
  <c r="AQ17" i="5"/>
  <c r="AR17" i="5"/>
  <c r="L18" i="5"/>
  <c r="M18" i="5"/>
  <c r="N18" i="5"/>
  <c r="O18" i="5"/>
  <c r="P18" i="5"/>
  <c r="Q18" i="5"/>
  <c r="R18" i="5"/>
  <c r="S18" i="5"/>
  <c r="T18" i="5"/>
  <c r="U18" i="5"/>
  <c r="V18" i="5"/>
  <c r="W18" i="5"/>
  <c r="X18" i="5"/>
  <c r="Y18" i="5"/>
  <c r="Z18" i="5"/>
  <c r="AA18" i="5"/>
  <c r="AB18" i="5"/>
  <c r="AC18" i="5"/>
  <c r="AD18" i="5"/>
  <c r="AE18" i="5"/>
  <c r="AF18" i="5"/>
  <c r="AG18" i="5"/>
  <c r="AH18" i="5"/>
  <c r="AI18" i="5"/>
  <c r="AJ18" i="5"/>
  <c r="AK18" i="5"/>
  <c r="AL18" i="5"/>
  <c r="AM18" i="5"/>
  <c r="AN18" i="5"/>
  <c r="AO18" i="5"/>
  <c r="AP18" i="5"/>
  <c r="AQ18" i="5"/>
  <c r="AR18" i="5"/>
  <c r="L19" i="5"/>
  <c r="M19" i="5"/>
  <c r="N19" i="5"/>
  <c r="O19" i="5"/>
  <c r="P19" i="5"/>
  <c r="Q19" i="5"/>
  <c r="R19" i="5"/>
  <c r="S19" i="5"/>
  <c r="T19" i="5"/>
  <c r="U19" i="5"/>
  <c r="V19" i="5"/>
  <c r="W19" i="5"/>
  <c r="X19" i="5"/>
  <c r="Y19" i="5"/>
  <c r="Z19" i="5"/>
  <c r="AA19" i="5"/>
  <c r="AB19" i="5"/>
  <c r="AC19" i="5"/>
  <c r="AD19" i="5"/>
  <c r="AE19" i="5"/>
  <c r="AF19" i="5"/>
  <c r="AG19" i="5"/>
  <c r="AH19" i="5"/>
  <c r="AI19" i="5"/>
  <c r="AJ19" i="5"/>
  <c r="AK19" i="5"/>
  <c r="AL19" i="5"/>
  <c r="AM19" i="5"/>
  <c r="AN19" i="5"/>
  <c r="AO19" i="5"/>
  <c r="AP19" i="5"/>
  <c r="AQ19" i="5"/>
  <c r="AL41" i="5" s="1"/>
  <c r="AR19" i="5"/>
  <c r="AM41" i="5" s="1"/>
  <c r="L20" i="5"/>
  <c r="M20" i="5"/>
  <c r="N20" i="5"/>
  <c r="O20" i="5"/>
  <c r="P20" i="5"/>
  <c r="Q20" i="5"/>
  <c r="R20" i="5"/>
  <c r="S20" i="5"/>
  <c r="T20" i="5"/>
  <c r="U20" i="5"/>
  <c r="V20" i="5"/>
  <c r="W20" i="5"/>
  <c r="X20" i="5"/>
  <c r="Y20" i="5"/>
  <c r="Z20" i="5"/>
  <c r="AA20" i="5"/>
  <c r="AB20" i="5"/>
  <c r="AC20" i="5"/>
  <c r="AD20" i="5"/>
  <c r="AE20" i="5"/>
  <c r="AF20" i="5"/>
  <c r="AG20" i="5"/>
  <c r="AH20" i="5"/>
  <c r="AI20" i="5"/>
  <c r="AJ20" i="5"/>
  <c r="AK20" i="5"/>
  <c r="AL20" i="5"/>
  <c r="AM20" i="5"/>
  <c r="AN20" i="5"/>
  <c r="AO20" i="5"/>
  <c r="AP20" i="5"/>
  <c r="AQ20" i="5"/>
  <c r="AR20" i="5"/>
  <c r="L21" i="5"/>
  <c r="M21" i="5"/>
  <c r="N21" i="5"/>
  <c r="O21" i="5"/>
  <c r="P21" i="5"/>
  <c r="Q21" i="5"/>
  <c r="R21" i="5"/>
  <c r="S21" i="5"/>
  <c r="T21" i="5"/>
  <c r="U21" i="5"/>
  <c r="V21" i="5"/>
  <c r="W21" i="5"/>
  <c r="X21" i="5"/>
  <c r="Y21" i="5"/>
  <c r="Z21" i="5"/>
  <c r="AA21" i="5"/>
  <c r="AB21" i="5"/>
  <c r="AC21" i="5"/>
  <c r="AD21" i="5"/>
  <c r="AE21" i="5"/>
  <c r="AF21" i="5"/>
  <c r="AG21" i="5"/>
  <c r="AH21" i="5"/>
  <c r="AI21" i="5"/>
  <c r="AJ21" i="5"/>
  <c r="AK21" i="5"/>
  <c r="AL21" i="5"/>
  <c r="AM21" i="5"/>
  <c r="AN21" i="5"/>
  <c r="AO21" i="5"/>
  <c r="AP21" i="5"/>
  <c r="AQ21" i="5"/>
  <c r="AR21" i="5"/>
  <c r="L22" i="5"/>
  <c r="M22" i="5"/>
  <c r="N22" i="5"/>
  <c r="O22" i="5"/>
  <c r="P22" i="5"/>
  <c r="Q22" i="5"/>
  <c r="R22" i="5"/>
  <c r="S22" i="5"/>
  <c r="T22" i="5"/>
  <c r="U22" i="5"/>
  <c r="V22" i="5"/>
  <c r="W22" i="5"/>
  <c r="X22" i="5"/>
  <c r="Y22" i="5"/>
  <c r="Z22" i="5"/>
  <c r="AA22" i="5"/>
  <c r="AB22" i="5"/>
  <c r="AC22" i="5"/>
  <c r="AD22" i="5"/>
  <c r="AE22" i="5"/>
  <c r="AF22" i="5"/>
  <c r="AG22" i="5"/>
  <c r="AH22" i="5"/>
  <c r="AI22" i="5"/>
  <c r="AJ22" i="5"/>
  <c r="AK22" i="5"/>
  <c r="AL22" i="5"/>
  <c r="AM22" i="5"/>
  <c r="AN22" i="5"/>
  <c r="AO22" i="5"/>
  <c r="AP22" i="5"/>
  <c r="AQ22" i="5"/>
  <c r="AR22"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M45" i="5" s="1"/>
  <c r="AL45" i="5" l="1"/>
  <c r="AM42" i="5"/>
  <c r="AM43" i="5"/>
  <c r="AM39" i="5"/>
  <c r="AL43" i="5"/>
  <c r="AM35" i="5"/>
  <c r="AL39" i="5"/>
  <c r="AM40" i="5"/>
  <c r="AM32" i="5"/>
  <c r="AL42" i="5"/>
  <c r="AL38" i="5"/>
  <c r="AL34" i="5"/>
  <c r="AM31" i="5"/>
  <c r="AL35" i="5"/>
  <c r="AL31" i="5"/>
  <c r="AM44" i="5"/>
  <c r="AL44" i="5"/>
  <c r="AL40" i="5"/>
  <c r="AL36" i="5"/>
  <c r="AL32" i="5"/>
  <c r="AM38" i="5"/>
  <c r="AM34" i="5"/>
  <c r="AM28" i="5"/>
  <c r="AL28" i="5"/>
  <c r="DM36" i="9" l="1"/>
  <c r="BN36" i="9" s="1"/>
  <c r="DM37" i="9"/>
  <c r="BN37" i="9" s="1"/>
  <c r="DM38" i="9"/>
  <c r="BN38" i="9" s="1"/>
  <c r="DM39" i="9"/>
  <c r="BN39" i="9" s="1"/>
  <c r="DM40" i="9"/>
  <c r="BN40" i="9" s="1"/>
  <c r="DM41" i="9"/>
  <c r="BN41" i="9" s="1"/>
  <c r="DM42" i="9"/>
  <c r="BN42" i="9" s="1"/>
  <c r="DM43" i="9"/>
  <c r="BN43" i="9" s="1"/>
  <c r="DM44" i="9"/>
  <c r="BN44" i="9" s="1"/>
  <c r="DM45" i="9"/>
  <c r="BN45" i="9" s="1"/>
  <c r="DM46" i="9"/>
  <c r="BN46" i="9" s="1"/>
  <c r="DM47" i="9"/>
  <c r="BN47" i="9" s="1"/>
  <c r="DM48" i="9"/>
  <c r="BN48" i="9" s="1"/>
  <c r="DM49" i="9"/>
  <c r="BN49" i="9" s="1"/>
  <c r="DM50" i="9"/>
  <c r="BN50" i="9" s="1"/>
  <c r="DM51" i="9"/>
  <c r="BN51" i="9" s="1"/>
  <c r="DM52" i="9"/>
  <c r="BN52" i="9" s="1"/>
  <c r="DM53" i="9"/>
  <c r="BN53" i="9" s="1"/>
  <c r="DM54" i="9"/>
  <c r="BN54" i="9" s="1"/>
  <c r="DM55" i="9"/>
  <c r="BN55" i="9" s="1"/>
  <c r="DM56" i="9"/>
  <c r="BN56" i="9" s="1"/>
  <c r="DM57" i="9"/>
  <c r="BN57" i="9" s="1"/>
  <c r="DM58" i="9"/>
  <c r="BN58" i="9" s="1"/>
  <c r="DM59" i="9"/>
  <c r="BN59" i="9" s="1"/>
  <c r="DM60" i="9"/>
  <c r="BN60" i="9" s="1"/>
  <c r="DM61" i="9"/>
  <c r="BN61" i="9" s="1"/>
  <c r="DM62" i="9"/>
  <c r="BN62" i="9" s="1"/>
  <c r="DM63" i="9"/>
  <c r="BN63" i="9" s="1"/>
  <c r="DM64" i="9"/>
  <c r="BN64" i="9" s="1"/>
  <c r="DM65" i="9"/>
  <c r="BN65" i="9" s="1"/>
  <c r="DM66" i="9"/>
  <c r="BN66" i="9" s="1"/>
  <c r="BM66" i="9" s="1"/>
  <c r="DM67" i="9"/>
  <c r="BN67" i="9" s="1"/>
  <c r="BM67" i="9" s="1"/>
  <c r="DM68" i="9"/>
  <c r="BN68" i="9" s="1"/>
  <c r="BM68" i="9" s="1"/>
  <c r="DM69" i="9"/>
  <c r="A4" i="20"/>
  <c r="Z24" i="5" l="1"/>
  <c r="AA24" i="5"/>
  <c r="AB24" i="5"/>
  <c r="AC24" i="5"/>
  <c r="AD24" i="5"/>
  <c r="AE24" i="5"/>
  <c r="AF24" i="5"/>
  <c r="AG24" i="5"/>
  <c r="AH24" i="5"/>
  <c r="AI24" i="5"/>
  <c r="AJ24" i="5"/>
  <c r="AK24" i="5"/>
  <c r="AL24" i="5"/>
  <c r="AM24" i="5"/>
  <c r="AN24" i="5"/>
  <c r="AO24" i="5"/>
  <c r="AP24" i="5"/>
  <c r="AQ24" i="5"/>
  <c r="AR24" i="5"/>
  <c r="Y24" i="5"/>
  <c r="BM62" i="9"/>
  <c r="BM63" i="9"/>
  <c r="BM64" i="9"/>
  <c r="BM65" i="9"/>
  <c r="AI45" i="5"/>
  <c r="AH45" i="5"/>
  <c r="AG45" i="5"/>
  <c r="AI44" i="5"/>
  <c r="AH44" i="5"/>
  <c r="AG44" i="5"/>
  <c r="AI43" i="5"/>
  <c r="AH43" i="5"/>
  <c r="AG43" i="5"/>
  <c r="AI42" i="5"/>
  <c r="AH42" i="5"/>
  <c r="AG42" i="5"/>
  <c r="AI41" i="5"/>
  <c r="AH41" i="5"/>
  <c r="AG41" i="5"/>
  <c r="AI40" i="5"/>
  <c r="AH40" i="5"/>
  <c r="AG40" i="5"/>
  <c r="AI39" i="5"/>
  <c r="AH39" i="5"/>
  <c r="AG39" i="5"/>
  <c r="AI38" i="5"/>
  <c r="AH38" i="5"/>
  <c r="AG38" i="5"/>
  <c r="AI37" i="5"/>
  <c r="AH37" i="5"/>
  <c r="AG37" i="5"/>
  <c r="AI36" i="5"/>
  <c r="AH36" i="5"/>
  <c r="AG36" i="5"/>
  <c r="AI35" i="5"/>
  <c r="AH35" i="5"/>
  <c r="AG35" i="5"/>
  <c r="AI34" i="5"/>
  <c r="AH34" i="5"/>
  <c r="AG34" i="5"/>
  <c r="AI33" i="5"/>
  <c r="AH33" i="5"/>
  <c r="AG33" i="5"/>
  <c r="AI32" i="5"/>
  <c r="AH32" i="5"/>
  <c r="AG32" i="5"/>
  <c r="AI31" i="5"/>
  <c r="AH31" i="5"/>
  <c r="AG31" i="5"/>
  <c r="AI30" i="5"/>
  <c r="AH30" i="5"/>
  <c r="AG30" i="5"/>
  <c r="AI29" i="5"/>
  <c r="AH29" i="5"/>
  <c r="AG29" i="5"/>
  <c r="AI28" i="5"/>
  <c r="AH28" i="5"/>
  <c r="AG28" i="5"/>
  <c r="AK29" i="5"/>
  <c r="AK30" i="5"/>
  <c r="AK31" i="5"/>
  <c r="AK32" i="5"/>
  <c r="AK33" i="5"/>
  <c r="AK34" i="5"/>
  <c r="AK35" i="5"/>
  <c r="AK36" i="5"/>
  <c r="AK37" i="5"/>
  <c r="AK38" i="5"/>
  <c r="AK39" i="5"/>
  <c r="AK40" i="5"/>
  <c r="AK41" i="5"/>
  <c r="AK42" i="5"/>
  <c r="AK43" i="5"/>
  <c r="AK44" i="5"/>
  <c r="AK45" i="5"/>
  <c r="AK28" i="5"/>
  <c r="M252" i="4"/>
  <c r="M294" i="4" s="1"/>
  <c r="M253" i="4"/>
  <c r="M295" i="4" s="1"/>
  <c r="M258" i="4"/>
  <c r="AJ65" i="5" s="1"/>
  <c r="H239" i="4"/>
  <c r="G239" i="4"/>
  <c r="F239" i="4"/>
  <c r="N235" i="4"/>
  <c r="N234" i="4"/>
  <c r="N233" i="4"/>
  <c r="N232" i="4"/>
  <c r="N228" i="4"/>
  <c r="N225" i="4"/>
  <c r="N224" i="4"/>
  <c r="N223" i="4"/>
  <c r="N222" i="4"/>
  <c r="I238" i="4"/>
  <c r="P235" i="4" s="1"/>
  <c r="M261" i="4" s="1"/>
  <c r="I237" i="4"/>
  <c r="P234" i="4" s="1"/>
  <c r="M260" i="4" s="1"/>
  <c r="I236" i="4"/>
  <c r="P233" i="4" s="1"/>
  <c r="M259" i="4" s="1"/>
  <c r="I235" i="4"/>
  <c r="P232" i="4" s="1"/>
  <c r="I234" i="4"/>
  <c r="P231" i="4" s="1"/>
  <c r="M257" i="4" s="1"/>
  <c r="I233" i="4"/>
  <c r="P230" i="4" s="1"/>
  <c r="M256" i="4" s="1"/>
  <c r="I232" i="4"/>
  <c r="P229" i="4" s="1"/>
  <c r="M255" i="4" s="1"/>
  <c r="N229" i="4"/>
  <c r="I231" i="4"/>
  <c r="P228" i="4" s="1"/>
  <c r="M254" i="4" s="1"/>
  <c r="I230" i="4"/>
  <c r="P227" i="4" s="1"/>
  <c r="I229" i="4"/>
  <c r="P226" i="4" s="1"/>
  <c r="I228" i="4"/>
  <c r="P225" i="4" s="1"/>
  <c r="M251" i="4" s="1"/>
  <c r="I227" i="4"/>
  <c r="P224" i="4" s="1"/>
  <c r="M250" i="4" s="1"/>
  <c r="I226" i="4"/>
  <c r="P223" i="4" s="1"/>
  <c r="M249" i="4" s="1"/>
  <c r="I225" i="4"/>
  <c r="P222" i="4" s="1"/>
  <c r="M248" i="4" s="1"/>
  <c r="I224" i="4"/>
  <c r="P221" i="4" s="1"/>
  <c r="M247" i="4" s="1"/>
  <c r="I223" i="4"/>
  <c r="O235" i="4"/>
  <c r="O234" i="4"/>
  <c r="O233" i="4"/>
  <c r="O232" i="4"/>
  <c r="O231" i="4"/>
  <c r="N231" i="4"/>
  <c r="O230" i="4"/>
  <c r="N230" i="4"/>
  <c r="N227" i="4"/>
  <c r="O229" i="4"/>
  <c r="O228" i="4"/>
  <c r="O227" i="4"/>
  <c r="O226" i="4"/>
  <c r="N226" i="4"/>
  <c r="O225" i="4"/>
  <c r="O224" i="4"/>
  <c r="O223" i="4"/>
  <c r="O222" i="4"/>
  <c r="I222" i="4"/>
  <c r="O221" i="4"/>
  <c r="I221" i="4"/>
  <c r="O220" i="4"/>
  <c r="I220" i="4"/>
  <c r="P219" i="4" s="1"/>
  <c r="M245" i="4" s="1"/>
  <c r="O219" i="4"/>
  <c r="I219" i="4"/>
  <c r="O218" i="4"/>
  <c r="I218" i="4"/>
  <c r="I239" i="4" s="1"/>
  <c r="AJ54" i="5" l="1"/>
  <c r="AJ54" i="9"/>
  <c r="M296" i="4"/>
  <c r="AJ61" i="5"/>
  <c r="AJ61" i="9"/>
  <c r="AJ63" i="9"/>
  <c r="M319" i="4"/>
  <c r="AJ63" i="5"/>
  <c r="AJ52" i="5"/>
  <c r="AJ52" i="9"/>
  <c r="AJ66" i="5"/>
  <c r="AJ66" i="9"/>
  <c r="M322" i="4"/>
  <c r="AJ67" i="5"/>
  <c r="AJ67" i="9"/>
  <c r="M343" i="4"/>
  <c r="M297" i="4"/>
  <c r="AJ62" i="9"/>
  <c r="AJ62" i="5"/>
  <c r="AJ64" i="5"/>
  <c r="AJ64" i="9"/>
  <c r="M320" i="4"/>
  <c r="AJ55" i="5"/>
  <c r="AK55" i="5" s="1"/>
  <c r="DF63" i="9" s="1"/>
  <c r="DF84" i="9" s="1"/>
  <c r="BD12" i="17" s="1"/>
  <c r="AZ34" i="17" s="1"/>
  <c r="AZ54" i="17" s="1"/>
  <c r="AJ55" i="9"/>
  <c r="M269" i="4"/>
  <c r="AJ56" i="5"/>
  <c r="AJ56" i="9"/>
  <c r="M270" i="4"/>
  <c r="M271" i="4"/>
  <c r="AJ57" i="5"/>
  <c r="AJ57" i="9"/>
  <c r="AJ68" i="9"/>
  <c r="AJ68" i="5"/>
  <c r="M344" i="4"/>
  <c r="M272" i="4"/>
  <c r="AJ58" i="5"/>
  <c r="AJ58" i="9"/>
  <c r="AL65" i="5"/>
  <c r="AM65" i="5"/>
  <c r="M321" i="4"/>
  <c r="AJ60" i="9"/>
  <c r="AJ60" i="5"/>
  <c r="AJ59" i="9"/>
  <c r="AJ59" i="5"/>
  <c r="AK68" i="5"/>
  <c r="DF76" i="9" s="1"/>
  <c r="DF97" i="9" s="1"/>
  <c r="BD25" i="17" s="1"/>
  <c r="AZ47" i="17" s="1"/>
  <c r="AK56" i="5"/>
  <c r="DF64" i="9" s="1"/>
  <c r="DF85" i="9" s="1"/>
  <c r="BD13" i="17" s="1"/>
  <c r="AZ35" i="17" s="1"/>
  <c r="AZ55" i="17" s="1"/>
  <c r="AK66" i="5"/>
  <c r="DF74" i="9" s="1"/>
  <c r="DF95" i="9" s="1"/>
  <c r="BD23" i="17" s="1"/>
  <c r="AZ45" i="17" s="1"/>
  <c r="AZ100" i="17" s="1"/>
  <c r="AK54" i="5"/>
  <c r="DF62" i="9" s="1"/>
  <c r="DF83" i="9" s="1"/>
  <c r="BD11" i="17" s="1"/>
  <c r="AZ33" i="17" s="1"/>
  <c r="AJ65" i="9"/>
  <c r="AK65" i="5"/>
  <c r="DF73" i="9" s="1"/>
  <c r="DF94" i="9" s="1"/>
  <c r="BD22" i="17" s="1"/>
  <c r="AZ44" i="17" s="1"/>
  <c r="AZ99" i="17" s="1"/>
  <c r="AK64" i="5"/>
  <c r="DF72" i="9" s="1"/>
  <c r="DF93" i="9" s="1"/>
  <c r="BD21" i="17" s="1"/>
  <c r="AZ43" i="17" s="1"/>
  <c r="AZ98" i="17" s="1"/>
  <c r="AK52" i="5"/>
  <c r="DF60" i="9" s="1"/>
  <c r="DF81" i="9" s="1"/>
  <c r="BD9" i="17" s="1"/>
  <c r="AZ31" i="17" s="1"/>
  <c r="P220" i="4"/>
  <c r="M246" i="4" s="1"/>
  <c r="O236" i="4"/>
  <c r="P218" i="4"/>
  <c r="M244" i="4" s="1"/>
  <c r="P236" i="4"/>
  <c r="M262" i="4" s="1"/>
  <c r="AL62" i="5" l="1"/>
  <c r="AM62" i="5"/>
  <c r="AM60" i="5"/>
  <c r="AL60" i="5"/>
  <c r="AK60" i="5"/>
  <c r="DF68" i="9" s="1"/>
  <c r="DF89" i="9" s="1"/>
  <c r="BD17" i="17" s="1"/>
  <c r="AZ39" i="17" s="1"/>
  <c r="AL57" i="5"/>
  <c r="AM57" i="5"/>
  <c r="AL63" i="5"/>
  <c r="AM63" i="5"/>
  <c r="AK63" i="5"/>
  <c r="DF71" i="9" s="1"/>
  <c r="DF92" i="9" s="1"/>
  <c r="BD20" i="17" s="1"/>
  <c r="AZ42" i="17" s="1"/>
  <c r="AZ97" i="17" s="1"/>
  <c r="AM120" i="5"/>
  <c r="DH73" i="9"/>
  <c r="DH94" i="9" s="1"/>
  <c r="BF22" i="17" s="1"/>
  <c r="BB44" i="17" s="1"/>
  <c r="BB99" i="17" s="1"/>
  <c r="AM61" i="5"/>
  <c r="AL61" i="5"/>
  <c r="AJ53" i="5"/>
  <c r="AJ53" i="9"/>
  <c r="AK62" i="5"/>
  <c r="DF70" i="9" s="1"/>
  <c r="DF91" i="9" s="1"/>
  <c r="BD19" i="17" s="1"/>
  <c r="AZ41" i="17" s="1"/>
  <c r="AL120" i="5"/>
  <c r="DG73" i="9"/>
  <c r="DG94" i="9" s="1"/>
  <c r="BE22" i="17" s="1"/>
  <c r="BA44" i="17" s="1"/>
  <c r="BA99" i="17" s="1"/>
  <c r="AJ51" i="9"/>
  <c r="AJ69" i="9" s="1"/>
  <c r="DE54" i="9" s="1"/>
  <c r="AJ51" i="5"/>
  <c r="AM67" i="5"/>
  <c r="AL67" i="5"/>
  <c r="AL58" i="5"/>
  <c r="AM58" i="5"/>
  <c r="AK58" i="5"/>
  <c r="DF66" i="9" s="1"/>
  <c r="DF87" i="9" s="1"/>
  <c r="BD15" i="17" s="1"/>
  <c r="AZ37" i="17" s="1"/>
  <c r="AZ57" i="17" s="1"/>
  <c r="AL64" i="5"/>
  <c r="AM64" i="5"/>
  <c r="AL56" i="5"/>
  <c r="AM56" i="5"/>
  <c r="AK67" i="5"/>
  <c r="DF75" i="9" s="1"/>
  <c r="DF96" i="9" s="1"/>
  <c r="BD24" i="17" s="1"/>
  <c r="AZ46" i="17" s="1"/>
  <c r="AM54" i="5"/>
  <c r="DH62" i="9" s="1"/>
  <c r="DH83" i="9" s="1"/>
  <c r="BF11" i="17" s="1"/>
  <c r="BB33" i="17" s="1"/>
  <c r="AL54" i="5"/>
  <c r="DG62" i="9" s="1"/>
  <c r="DG83" i="9" s="1"/>
  <c r="BE11" i="17" s="1"/>
  <c r="BA33" i="17" s="1"/>
  <c r="AL59" i="5"/>
  <c r="AM59" i="5"/>
  <c r="AK59" i="5"/>
  <c r="DF67" i="9" s="1"/>
  <c r="DF88" i="9" s="1"/>
  <c r="BD16" i="17" s="1"/>
  <c r="AZ38" i="17" s="1"/>
  <c r="AK57" i="5"/>
  <c r="DF65" i="9" s="1"/>
  <c r="DF86" i="9" s="1"/>
  <c r="BD14" i="17" s="1"/>
  <c r="AZ36" i="17" s="1"/>
  <c r="AZ56" i="17" s="1"/>
  <c r="AM55" i="5"/>
  <c r="AL55" i="5"/>
  <c r="AM66" i="5"/>
  <c r="AL66" i="5"/>
  <c r="AK61" i="5"/>
  <c r="DF69" i="9" s="1"/>
  <c r="DF90" i="9" s="1"/>
  <c r="BD18" i="17" s="1"/>
  <c r="AZ40" i="17" s="1"/>
  <c r="AL68" i="5"/>
  <c r="AM68" i="5"/>
  <c r="AM52" i="5"/>
  <c r="DH60" i="9" s="1"/>
  <c r="DH81" i="9" s="1"/>
  <c r="BF9" i="17" s="1"/>
  <c r="BB31" i="17" s="1"/>
  <c r="AL52" i="5"/>
  <c r="DG60" i="9" s="1"/>
  <c r="DG81" i="9" s="1"/>
  <c r="BE9" i="17" s="1"/>
  <c r="BA31" i="17" s="1"/>
  <c r="AK148" i="5"/>
  <c r="AK117" i="5"/>
  <c r="AK96" i="5"/>
  <c r="AM150" i="5" l="1"/>
  <c r="DH76" i="9"/>
  <c r="DH97" i="9" s="1"/>
  <c r="BF25" i="17" s="1"/>
  <c r="BB47" i="17" s="1"/>
  <c r="DH75" i="9"/>
  <c r="DH96" i="9" s="1"/>
  <c r="BF24" i="17" s="1"/>
  <c r="BB46" i="17" s="1"/>
  <c r="AM149" i="5"/>
  <c r="AM118" i="5"/>
  <c r="DH71" i="9"/>
  <c r="DH92" i="9" s="1"/>
  <c r="BF20" i="17" s="1"/>
  <c r="BB42" i="17" s="1"/>
  <c r="BB97" i="17" s="1"/>
  <c r="AL150" i="5"/>
  <c r="DG76" i="9"/>
  <c r="DG97" i="9" s="1"/>
  <c r="BE25" i="17" s="1"/>
  <c r="BA47" i="17" s="1"/>
  <c r="AM97" i="5"/>
  <c r="DH67" i="9"/>
  <c r="DH88" i="9" s="1"/>
  <c r="BF16" i="17" s="1"/>
  <c r="BB38" i="17" s="1"/>
  <c r="DG64" i="9"/>
  <c r="DG85" i="9" s="1"/>
  <c r="BE13" i="17" s="1"/>
  <c r="BA35" i="17" s="1"/>
  <c r="BA55" i="17" s="1"/>
  <c r="AL76" i="5"/>
  <c r="DG66" i="9"/>
  <c r="DG87" i="9" s="1"/>
  <c r="BE15" i="17" s="1"/>
  <c r="BA37" i="17" s="1"/>
  <c r="BA57" i="17" s="1"/>
  <c r="AL78" i="5"/>
  <c r="AM77" i="5"/>
  <c r="DH65" i="9"/>
  <c r="DH86" i="9" s="1"/>
  <c r="BF14" i="17" s="1"/>
  <c r="BB36" i="17" s="1"/>
  <c r="BB56" i="17" s="1"/>
  <c r="DH64" i="9"/>
  <c r="DH85" i="9" s="1"/>
  <c r="BF13" i="17" s="1"/>
  <c r="BB35" i="17" s="1"/>
  <c r="BB55" i="17" s="1"/>
  <c r="AM76" i="5"/>
  <c r="DG65" i="9"/>
  <c r="DG86" i="9" s="1"/>
  <c r="BE14" i="17" s="1"/>
  <c r="BA36" i="17" s="1"/>
  <c r="BA56" i="17" s="1"/>
  <c r="AL77" i="5"/>
  <c r="DG74" i="9"/>
  <c r="DG95" i="9" s="1"/>
  <c r="BE23" i="17" s="1"/>
  <c r="BA45" i="17" s="1"/>
  <c r="BA100" i="17" s="1"/>
  <c r="AL121" i="5"/>
  <c r="DH74" i="9"/>
  <c r="DH95" i="9" s="1"/>
  <c r="BF23" i="17" s="1"/>
  <c r="BB45" i="17" s="1"/>
  <c r="BB100" i="17" s="1"/>
  <c r="AM121" i="5"/>
  <c r="AL98" i="5"/>
  <c r="DG68" i="9"/>
  <c r="DG89" i="9" s="1"/>
  <c r="BE17" i="17" s="1"/>
  <c r="BA39" i="17" s="1"/>
  <c r="AL118" i="5"/>
  <c r="DG71" i="9"/>
  <c r="DG92" i="9" s="1"/>
  <c r="BE20" i="17" s="1"/>
  <c r="BA42" i="17" s="1"/>
  <c r="BA97" i="17" s="1"/>
  <c r="DH72" i="9"/>
  <c r="DH93" i="9" s="1"/>
  <c r="BF21" i="17" s="1"/>
  <c r="BB43" i="17" s="1"/>
  <c r="BB98" i="17" s="1"/>
  <c r="AM119" i="5"/>
  <c r="DG63" i="9"/>
  <c r="DG84" i="9" s="1"/>
  <c r="BE12" i="17" s="1"/>
  <c r="BA34" i="17" s="1"/>
  <c r="BA54" i="17" s="1"/>
  <c r="AL75" i="5"/>
  <c r="AL119" i="5"/>
  <c r="DG72" i="9"/>
  <c r="DG93" i="9" s="1"/>
  <c r="BE21" i="17" s="1"/>
  <c r="BA43" i="17" s="1"/>
  <c r="BA98" i="17" s="1"/>
  <c r="AM53" i="5"/>
  <c r="DH61" i="9" s="1"/>
  <c r="DH82" i="9" s="1"/>
  <c r="BF10" i="17" s="1"/>
  <c r="BB32" i="17" s="1"/>
  <c r="AL53" i="5"/>
  <c r="DG61" i="9" s="1"/>
  <c r="DG82" i="9" s="1"/>
  <c r="BE10" i="17" s="1"/>
  <c r="BA32" i="17" s="1"/>
  <c r="AK53" i="5"/>
  <c r="DF61" i="9" s="1"/>
  <c r="DF82" i="9" s="1"/>
  <c r="BD10" i="17" s="1"/>
  <c r="AZ32" i="17" s="1"/>
  <c r="AM98" i="5"/>
  <c r="DH68" i="9"/>
  <c r="DH89" i="9" s="1"/>
  <c r="BF17" i="17" s="1"/>
  <c r="BB39" i="17" s="1"/>
  <c r="AL51" i="5"/>
  <c r="AM51" i="5"/>
  <c r="AK51" i="5"/>
  <c r="DF59" i="9" s="1"/>
  <c r="DH63" i="9"/>
  <c r="DH84" i="9" s="1"/>
  <c r="BF12" i="17" s="1"/>
  <c r="BB34" i="17" s="1"/>
  <c r="BB54" i="17" s="1"/>
  <c r="AM75" i="5"/>
  <c r="AL149" i="5"/>
  <c r="DG75" i="9"/>
  <c r="DG96" i="9" s="1"/>
  <c r="BE24" i="17" s="1"/>
  <c r="BA46" i="17" s="1"/>
  <c r="AL97" i="5"/>
  <c r="DG67" i="9"/>
  <c r="DG88" i="9" s="1"/>
  <c r="BE16" i="17" s="1"/>
  <c r="BA38" i="17" s="1"/>
  <c r="AL99" i="5"/>
  <c r="DG69" i="9"/>
  <c r="DG90" i="9" s="1"/>
  <c r="BE18" i="17" s="1"/>
  <c r="BA40" i="17" s="1"/>
  <c r="DH70" i="9"/>
  <c r="DH91" i="9" s="1"/>
  <c r="BF19" i="17" s="1"/>
  <c r="BB41" i="17" s="1"/>
  <c r="AM100" i="5"/>
  <c r="DH66" i="9"/>
  <c r="DH87" i="9" s="1"/>
  <c r="BF15" i="17" s="1"/>
  <c r="BB37" i="17" s="1"/>
  <c r="BB57" i="17" s="1"/>
  <c r="AM78" i="5"/>
  <c r="DH69" i="9"/>
  <c r="DH90" i="9" s="1"/>
  <c r="BF18" i="17" s="1"/>
  <c r="BB40" i="17" s="1"/>
  <c r="AM99" i="5"/>
  <c r="DG70" i="9"/>
  <c r="DG91" i="9" s="1"/>
  <c r="BE19" i="17" s="1"/>
  <c r="BA41" i="17" s="1"/>
  <c r="AL100" i="5"/>
  <c r="AD135" i="11"/>
  <c r="AL69" i="5" l="1"/>
  <c r="DG59" i="9"/>
  <c r="DH59" i="9"/>
  <c r="AM69" i="5"/>
  <c r="DF80" i="9"/>
  <c r="DF77" i="9"/>
  <c r="CJ52" i="17"/>
  <c r="CJ53" i="17"/>
  <c r="CJ54" i="17"/>
  <c r="AH148" i="9"/>
  <c r="AI148" i="9"/>
  <c r="AJ148" i="9"/>
  <c r="AH117" i="9"/>
  <c r="AI117" i="9"/>
  <c r="AJ117" i="9"/>
  <c r="AH96" i="9"/>
  <c r="AI96" i="9"/>
  <c r="AJ96" i="9"/>
  <c r="AH148" i="5"/>
  <c r="AI148" i="5"/>
  <c r="AJ148" i="5"/>
  <c r="AH117" i="5"/>
  <c r="AI117" i="5"/>
  <c r="AJ117" i="5"/>
  <c r="AH96" i="5"/>
  <c r="AI96" i="5"/>
  <c r="AJ96" i="5"/>
  <c r="DH77" i="9" l="1"/>
  <c r="DH80" i="9"/>
  <c r="DF98" i="9"/>
  <c r="BD8" i="17"/>
  <c r="DG80" i="9"/>
  <c r="DG77" i="9"/>
  <c r="CJ51" i="17"/>
  <c r="AV127" i="16"/>
  <c r="AV75" i="16"/>
  <c r="AV96" i="16" s="1"/>
  <c r="BD26" i="17" l="1"/>
  <c r="BD27" i="17" s="1"/>
  <c r="AZ30" i="17"/>
  <c r="DG98" i="9"/>
  <c r="BE8" i="17"/>
  <c r="DH98" i="9"/>
  <c r="BF8" i="17"/>
  <c r="AG148" i="5"/>
  <c r="AG117" i="5"/>
  <c r="AG96" i="5"/>
  <c r="BB30" i="17" l="1"/>
  <c r="BF26" i="17"/>
  <c r="BF27" i="17" s="1"/>
  <c r="BA30" i="17"/>
  <c r="BE26" i="17"/>
  <c r="BE27" i="17" s="1"/>
  <c r="D16" i="9"/>
  <c r="R13" i="6" l="1"/>
  <c r="R12" i="6"/>
  <c r="R11" i="6"/>
  <c r="R10" i="6"/>
  <c r="R9" i="6"/>
  <c r="R8" i="6"/>
  <c r="R39" i="6"/>
  <c r="R38" i="6"/>
  <c r="R37" i="6"/>
  <c r="R36" i="6"/>
  <c r="R35" i="6"/>
  <c r="R34" i="6"/>
  <c r="R65" i="6"/>
  <c r="R64" i="6"/>
  <c r="R63" i="6"/>
  <c r="R62" i="6"/>
  <c r="R61" i="6"/>
  <c r="R60" i="6"/>
  <c r="R91" i="6"/>
  <c r="R90" i="6"/>
  <c r="R89" i="6"/>
  <c r="R88" i="6"/>
  <c r="R87" i="6"/>
  <c r="R86" i="6"/>
  <c r="CL11" i="17" l="1"/>
  <c r="CL12" i="17"/>
  <c r="CL13" i="17"/>
  <c r="CL14" i="17"/>
  <c r="CL15" i="17"/>
  <c r="CL16" i="17"/>
  <c r="CL17" i="17"/>
  <c r="CL18" i="17"/>
  <c r="CL19" i="17"/>
  <c r="CL20" i="17"/>
  <c r="CL21" i="17"/>
  <c r="CL22" i="17"/>
  <c r="CL23" i="17"/>
  <c r="CL24" i="17"/>
  <c r="CL25" i="17"/>
  <c r="CL26" i="17"/>
  <c r="CL27" i="17"/>
  <c r="CL28" i="17"/>
  <c r="CL29" i="17"/>
  <c r="CL30" i="17"/>
  <c r="CL31" i="17"/>
  <c r="CL32" i="17"/>
  <c r="CL33" i="17"/>
  <c r="CL34" i="17"/>
  <c r="CL35" i="17"/>
  <c r="CL36" i="17"/>
  <c r="CL37" i="17"/>
  <c r="CL38" i="17"/>
  <c r="CL39" i="17"/>
  <c r="CL40" i="17"/>
  <c r="CL41" i="17"/>
  <c r="CL42" i="17"/>
  <c r="CL44" i="17"/>
  <c r="CL10" i="17"/>
  <c r="L342" i="4" l="1"/>
  <c r="L318" i="4"/>
  <c r="L293" i="4"/>
  <c r="L268" i="4"/>
  <c r="I169" i="4"/>
  <c r="I143" i="4"/>
  <c r="I195" i="4"/>
  <c r="G213" i="4"/>
  <c r="I212" i="4"/>
  <c r="P209" i="4" s="1"/>
  <c r="L261" i="4" s="1"/>
  <c r="L344" i="4" s="1"/>
  <c r="I211" i="4"/>
  <c r="P208" i="4" s="1"/>
  <c r="L260" i="4" s="1"/>
  <c r="L343" i="4" s="1"/>
  <c r="I210" i="4"/>
  <c r="P207" i="4" s="1"/>
  <c r="L259" i="4" s="1"/>
  <c r="O209" i="4"/>
  <c r="I209" i="4"/>
  <c r="P206" i="4" s="1"/>
  <c r="L258" i="4" s="1"/>
  <c r="O208" i="4"/>
  <c r="I208" i="4"/>
  <c r="P205" i="4" s="1"/>
  <c r="L257" i="4" s="1"/>
  <c r="O207" i="4"/>
  <c r="I207" i="4"/>
  <c r="P204" i="4" s="1"/>
  <c r="L256" i="4" s="1"/>
  <c r="L319" i="4" s="1"/>
  <c r="I206" i="4"/>
  <c r="P203" i="4" s="1"/>
  <c r="L255" i="4" s="1"/>
  <c r="L297" i="4" s="1"/>
  <c r="O205" i="4"/>
  <c r="I205" i="4"/>
  <c r="P202" i="4" s="1"/>
  <c r="L254" i="4" s="1"/>
  <c r="L296" i="4" s="1"/>
  <c r="O204" i="4"/>
  <c r="I204" i="4"/>
  <c r="P201" i="4" s="1"/>
  <c r="L253" i="4" s="1"/>
  <c r="O203" i="4"/>
  <c r="I203" i="4"/>
  <c r="P200" i="4" s="1"/>
  <c r="L252" i="4" s="1"/>
  <c r="I202" i="4"/>
  <c r="P199" i="4" s="1"/>
  <c r="L251" i="4" s="1"/>
  <c r="L272" i="4" s="1"/>
  <c r="I201" i="4"/>
  <c r="P198" i="4" s="1"/>
  <c r="L250" i="4" s="1"/>
  <c r="L271" i="4" s="1"/>
  <c r="I200" i="4"/>
  <c r="P197" i="4" s="1"/>
  <c r="L249" i="4" s="1"/>
  <c r="L270" i="4" s="1"/>
  <c r="I199" i="4"/>
  <c r="P196" i="4" s="1"/>
  <c r="L248" i="4" s="1"/>
  <c r="L269" i="4" s="1"/>
  <c r="O198" i="4"/>
  <c r="I198" i="4"/>
  <c r="P195" i="4" s="1"/>
  <c r="L247" i="4" s="1"/>
  <c r="O197" i="4"/>
  <c r="I197" i="4"/>
  <c r="O196" i="4"/>
  <c r="I196" i="4"/>
  <c r="O194" i="4"/>
  <c r="I194" i="4"/>
  <c r="O193" i="4"/>
  <c r="I193" i="4"/>
  <c r="O192" i="4"/>
  <c r="P193" i="4" l="1"/>
  <c r="L245" i="4" s="1"/>
  <c r="AF52" i="5" s="1"/>
  <c r="AF59" i="9"/>
  <c r="AF59" i="5"/>
  <c r="AF66" i="9"/>
  <c r="AF66" i="5"/>
  <c r="AF64" i="9"/>
  <c r="AF64" i="5"/>
  <c r="AF57" i="9"/>
  <c r="AF57" i="5"/>
  <c r="AF58" i="9"/>
  <c r="AF58" i="5"/>
  <c r="AF60" i="9"/>
  <c r="AF60" i="5"/>
  <c r="AF68" i="9"/>
  <c r="AF68" i="5"/>
  <c r="AF67" i="9"/>
  <c r="AF67" i="5"/>
  <c r="L295" i="4"/>
  <c r="L294" i="4"/>
  <c r="AF54" i="9"/>
  <c r="AF54" i="5"/>
  <c r="AF62" i="9"/>
  <c r="AF62" i="5"/>
  <c r="AF56" i="9"/>
  <c r="AF56" i="5"/>
  <c r="L320" i="4"/>
  <c r="AF65" i="9"/>
  <c r="AF65" i="5"/>
  <c r="AF61" i="9"/>
  <c r="AF61" i="5"/>
  <c r="AF63" i="9"/>
  <c r="AF63" i="5"/>
  <c r="L322" i="4"/>
  <c r="AF55" i="9"/>
  <c r="AF55" i="5"/>
  <c r="L321" i="4"/>
  <c r="O195" i="4"/>
  <c r="P194" i="4"/>
  <c r="L246" i="4" s="1"/>
  <c r="O199" i="4"/>
  <c r="O200" i="4"/>
  <c r="O201" i="4"/>
  <c r="O202" i="4"/>
  <c r="O206" i="4"/>
  <c r="I192" i="4"/>
  <c r="AP20" i="14"/>
  <c r="AP19" i="14"/>
  <c r="AP18" i="14"/>
  <c r="AP17" i="14"/>
  <c r="AP16" i="14"/>
  <c r="AP15" i="14"/>
  <c r="AP14" i="14"/>
  <c r="AP13" i="14"/>
  <c r="AP12" i="14"/>
  <c r="AP11" i="14"/>
  <c r="AP10" i="14"/>
  <c r="AP9" i="14"/>
  <c r="AP8" i="14"/>
  <c r="AP7" i="14"/>
  <c r="AP6" i="14"/>
  <c r="AP5" i="14"/>
  <c r="AP4" i="14"/>
  <c r="AP3" i="14"/>
  <c r="AP2" i="14"/>
  <c r="AT13" i="5" l="1"/>
  <c r="AG58" i="5"/>
  <c r="AI58" i="5"/>
  <c r="AH58" i="5"/>
  <c r="AT9" i="5"/>
  <c r="AG54" i="5"/>
  <c r="AI54" i="5"/>
  <c r="AH54" i="5"/>
  <c r="AT12" i="5"/>
  <c r="AG57" i="5"/>
  <c r="AH57" i="5"/>
  <c r="AI57" i="5"/>
  <c r="AG63" i="5"/>
  <c r="AI63" i="5"/>
  <c r="AH63" i="5"/>
  <c r="AG64" i="5"/>
  <c r="AI64" i="5"/>
  <c r="AH64" i="5"/>
  <c r="AT16" i="5"/>
  <c r="AH61" i="5"/>
  <c r="AG61" i="5"/>
  <c r="AI61" i="5"/>
  <c r="AT22" i="5"/>
  <c r="AI67" i="5"/>
  <c r="AH67" i="5"/>
  <c r="AG67" i="5"/>
  <c r="AH66" i="5"/>
  <c r="AG66" i="5"/>
  <c r="AI66" i="5"/>
  <c r="AT10" i="5"/>
  <c r="AH55" i="5"/>
  <c r="AI55" i="5"/>
  <c r="AG55" i="5"/>
  <c r="AT17" i="5"/>
  <c r="AG62" i="5"/>
  <c r="AI62" i="5"/>
  <c r="AH62" i="5"/>
  <c r="AH65" i="5"/>
  <c r="AI65" i="5"/>
  <c r="AG65" i="5"/>
  <c r="AT23" i="5"/>
  <c r="AI68" i="5"/>
  <c r="AH68" i="5"/>
  <c r="AG68" i="5"/>
  <c r="AT14" i="5"/>
  <c r="AG59" i="5"/>
  <c r="AI59" i="5"/>
  <c r="AH59" i="5"/>
  <c r="AT11" i="5"/>
  <c r="AH56" i="5"/>
  <c r="AI56" i="5"/>
  <c r="AG56" i="5"/>
  <c r="AT15" i="5"/>
  <c r="AH60" i="5"/>
  <c r="AI60" i="5"/>
  <c r="AG60" i="5"/>
  <c r="AT7" i="5"/>
  <c r="AH52" i="5"/>
  <c r="AI52" i="5"/>
  <c r="AG52" i="5"/>
  <c r="O210" i="4"/>
  <c r="AF52" i="9"/>
  <c r="AP21" i="14"/>
  <c r="AP22" i="14" s="1"/>
  <c r="AF118" i="5"/>
  <c r="AT18" i="5"/>
  <c r="AF119" i="5"/>
  <c r="AT19" i="5"/>
  <c r="AT20" i="5"/>
  <c r="AF120" i="5"/>
  <c r="AF121" i="5"/>
  <c r="AT21" i="5"/>
  <c r="AF53" i="9"/>
  <c r="AF53" i="5"/>
  <c r="I213" i="4"/>
  <c r="P192" i="4"/>
  <c r="CJ11" i="17"/>
  <c r="CJ12" i="17"/>
  <c r="CJ13" i="17"/>
  <c r="CJ14" i="17"/>
  <c r="CJ15" i="17"/>
  <c r="CJ16" i="17"/>
  <c r="CJ17" i="17"/>
  <c r="CJ10" i="17"/>
  <c r="F129" i="17"/>
  <c r="F128" i="17"/>
  <c r="X127" i="17"/>
  <c r="W127" i="17"/>
  <c r="V127" i="17"/>
  <c r="U127" i="17"/>
  <c r="T127" i="17"/>
  <c r="S127" i="17"/>
  <c r="R127" i="17"/>
  <c r="Q127" i="17"/>
  <c r="P127" i="17"/>
  <c r="O127" i="17"/>
  <c r="N127" i="17"/>
  <c r="BL103" i="17"/>
  <c r="BK103" i="17"/>
  <c r="F100" i="17"/>
  <c r="F99" i="17"/>
  <c r="F98" i="17"/>
  <c r="F97" i="17"/>
  <c r="F79" i="17"/>
  <c r="F78" i="17"/>
  <c r="F77" i="17"/>
  <c r="F76" i="17"/>
  <c r="F57" i="17"/>
  <c r="F56" i="17"/>
  <c r="F55" i="17"/>
  <c r="F54" i="17"/>
  <c r="X53" i="17"/>
  <c r="X75" i="17" s="1"/>
  <c r="X96" i="17" s="1"/>
  <c r="W53" i="17"/>
  <c r="W75" i="17" s="1"/>
  <c r="W96" i="17" s="1"/>
  <c r="V53" i="17"/>
  <c r="V75" i="17" s="1"/>
  <c r="V96" i="17" s="1"/>
  <c r="U53" i="17"/>
  <c r="U75" i="17" s="1"/>
  <c r="U96" i="17" s="1"/>
  <c r="T53" i="17"/>
  <c r="T75" i="17" s="1"/>
  <c r="T96" i="17" s="1"/>
  <c r="S53" i="17"/>
  <c r="S75" i="17" s="1"/>
  <c r="S96" i="17" s="1"/>
  <c r="R53" i="17"/>
  <c r="R75" i="17" s="1"/>
  <c r="R96" i="17" s="1"/>
  <c r="Q53" i="17"/>
  <c r="Q75" i="17" s="1"/>
  <c r="Q96" i="17" s="1"/>
  <c r="P53" i="17"/>
  <c r="P75" i="17" s="1"/>
  <c r="P96" i="17" s="1"/>
  <c r="O53" i="17"/>
  <c r="O75" i="17" s="1"/>
  <c r="O96" i="17" s="1"/>
  <c r="N53" i="17"/>
  <c r="N75" i="17" s="1"/>
  <c r="N96" i="17" s="1"/>
  <c r="Y29" i="17"/>
  <c r="Z29" i="17" s="1"/>
  <c r="BP18" i="17"/>
  <c r="BP19" i="17" s="1"/>
  <c r="BP20" i="17" s="1"/>
  <c r="BP21" i="17" s="1"/>
  <c r="BP22" i="17" s="1"/>
  <c r="BP23" i="17" s="1"/>
  <c r="BP24" i="17" s="1"/>
  <c r="BP25" i="17" s="1"/>
  <c r="BP26" i="17" s="1"/>
  <c r="BP27" i="17" s="1"/>
  <c r="BP28" i="17" s="1"/>
  <c r="BP29" i="17" s="1"/>
  <c r="BP30" i="17" s="1"/>
  <c r="BP31" i="17" s="1"/>
  <c r="BP32" i="17" s="1"/>
  <c r="BP33" i="17" s="1"/>
  <c r="BP34" i="17" s="1"/>
  <c r="BP35" i="17" s="1"/>
  <c r="BP36" i="17" s="1"/>
  <c r="BP37" i="17" s="1"/>
  <c r="BP38" i="17" s="1"/>
  <c r="BP39" i="17" s="1"/>
  <c r="BP40" i="17" s="1"/>
  <c r="BP41" i="17" s="1"/>
  <c r="BP42" i="17" s="1"/>
  <c r="BP43" i="17" s="1"/>
  <c r="BP44" i="17" s="1"/>
  <c r="BP45" i="17" s="1"/>
  <c r="BP46" i="17" s="1"/>
  <c r="BP47" i="17" s="1"/>
  <c r="BP48" i="17" s="1"/>
  <c r="BP49" i="17" s="1"/>
  <c r="BP50" i="17" s="1"/>
  <c r="CJ50" i="17" s="1"/>
  <c r="AD7" i="17"/>
  <c r="AE7" i="17" s="1"/>
  <c r="AF7" i="17" s="1"/>
  <c r="AG7" i="17" s="1"/>
  <c r="AH7" i="17" s="1"/>
  <c r="AI7" i="17" s="1"/>
  <c r="AJ7" i="17" s="1"/>
  <c r="AK7" i="17" s="1"/>
  <c r="AL7" i="17" s="1"/>
  <c r="AM7" i="17" s="1"/>
  <c r="AN7" i="17" s="1"/>
  <c r="AO7" i="17" s="1"/>
  <c r="AP7" i="17" s="1"/>
  <c r="AQ7" i="17" s="1"/>
  <c r="AR7" i="17" s="1"/>
  <c r="AS7" i="17" s="1"/>
  <c r="AT7" i="17" s="1"/>
  <c r="AU7" i="17" s="1"/>
  <c r="AV7" i="17" s="1"/>
  <c r="AW7" i="17" s="1"/>
  <c r="AX7" i="17" s="1"/>
  <c r="AY7" i="17" s="1"/>
  <c r="AZ7" i="17" s="1"/>
  <c r="BA7" i="17" s="1"/>
  <c r="BB7" i="17" s="1"/>
  <c r="BC7" i="17" s="1"/>
  <c r="AU27" i="11"/>
  <c r="AU26" i="11"/>
  <c r="F129" i="16"/>
  <c r="F128" i="16"/>
  <c r="X127" i="16"/>
  <c r="W127" i="16"/>
  <c r="V127" i="16"/>
  <c r="U127" i="16"/>
  <c r="T127" i="16"/>
  <c r="S127" i="16"/>
  <c r="R127" i="16"/>
  <c r="Q127" i="16"/>
  <c r="P127" i="16"/>
  <c r="O127" i="16"/>
  <c r="N127" i="16"/>
  <c r="BL103" i="16"/>
  <c r="BK103" i="16"/>
  <c r="F100" i="16"/>
  <c r="F99" i="16"/>
  <c r="F98" i="16"/>
  <c r="F97" i="16"/>
  <c r="F79" i="16"/>
  <c r="F78" i="16"/>
  <c r="F77" i="16"/>
  <c r="F76" i="16"/>
  <c r="F57" i="16"/>
  <c r="F56" i="16"/>
  <c r="F55" i="16"/>
  <c r="F54" i="16"/>
  <c r="X53" i="16"/>
  <c r="X75" i="16" s="1"/>
  <c r="X96" i="16" s="1"/>
  <c r="W53" i="16"/>
  <c r="W75" i="16" s="1"/>
  <c r="W96" i="16" s="1"/>
  <c r="V53" i="16"/>
  <c r="V75" i="16" s="1"/>
  <c r="V96" i="16" s="1"/>
  <c r="U53" i="16"/>
  <c r="U75" i="16" s="1"/>
  <c r="U96" i="16" s="1"/>
  <c r="T53" i="16"/>
  <c r="T75" i="16" s="1"/>
  <c r="T96" i="16" s="1"/>
  <c r="S53" i="16"/>
  <c r="S75" i="16" s="1"/>
  <c r="S96" i="16" s="1"/>
  <c r="R53" i="16"/>
  <c r="R75" i="16" s="1"/>
  <c r="R96" i="16" s="1"/>
  <c r="Q53" i="16"/>
  <c r="Q75" i="16" s="1"/>
  <c r="Q96" i="16" s="1"/>
  <c r="P53" i="16"/>
  <c r="P75" i="16" s="1"/>
  <c r="P96" i="16" s="1"/>
  <c r="O53" i="16"/>
  <c r="O75" i="16" s="1"/>
  <c r="O96" i="16" s="1"/>
  <c r="N53" i="16"/>
  <c r="N75" i="16" s="1"/>
  <c r="N96" i="16" s="1"/>
  <c r="Y29" i="16"/>
  <c r="BQ18" i="16"/>
  <c r="BQ19" i="16" s="1"/>
  <c r="BQ20" i="16" s="1"/>
  <c r="BQ21" i="16" s="1"/>
  <c r="BQ22" i="16" s="1"/>
  <c r="BQ23" i="16" s="1"/>
  <c r="BQ24" i="16" s="1"/>
  <c r="BQ25" i="16" s="1"/>
  <c r="BQ26" i="16" s="1"/>
  <c r="BQ27" i="16" s="1"/>
  <c r="BQ28" i="16" s="1"/>
  <c r="BQ29" i="16" s="1"/>
  <c r="BQ30" i="16" s="1"/>
  <c r="BQ31" i="16" s="1"/>
  <c r="BQ32" i="16" s="1"/>
  <c r="BQ33" i="16" s="1"/>
  <c r="BQ34" i="16" s="1"/>
  <c r="BQ35" i="16" s="1"/>
  <c r="BQ36" i="16" s="1"/>
  <c r="BQ37" i="16" s="1"/>
  <c r="BQ38" i="16" s="1"/>
  <c r="BQ39" i="16" s="1"/>
  <c r="BQ40" i="16" s="1"/>
  <c r="BQ41" i="16" s="1"/>
  <c r="BQ42" i="16" s="1"/>
  <c r="BQ43" i="16" s="1"/>
  <c r="BQ44" i="16" s="1"/>
  <c r="BQ45" i="16" s="1"/>
  <c r="BQ46" i="16" s="1"/>
  <c r="BQ47" i="16" s="1"/>
  <c r="BQ48" i="16" s="1"/>
  <c r="BQ49" i="16" s="1"/>
  <c r="BQ50" i="16" s="1"/>
  <c r="AD7" i="16"/>
  <c r="AE7" i="16" s="1"/>
  <c r="AF7" i="16" s="1"/>
  <c r="AG7" i="16" s="1"/>
  <c r="AH7" i="16" s="1"/>
  <c r="AI7" i="16" s="1"/>
  <c r="AJ7" i="16" s="1"/>
  <c r="AK7" i="16" s="1"/>
  <c r="AL7" i="16" s="1"/>
  <c r="AM7" i="16" s="1"/>
  <c r="AN7" i="16" s="1"/>
  <c r="AO7" i="16" s="1"/>
  <c r="AP7" i="16" s="1"/>
  <c r="AQ7" i="16" s="1"/>
  <c r="AR7" i="16" s="1"/>
  <c r="AS7" i="16" s="1"/>
  <c r="AT7" i="16" s="1"/>
  <c r="AU7" i="16" s="1"/>
  <c r="AV7" i="16" s="1"/>
  <c r="AW7" i="16" s="1"/>
  <c r="AX7" i="16" s="1"/>
  <c r="AY7" i="16" s="1"/>
  <c r="AT8" i="5" l="1"/>
  <c r="AI53" i="5"/>
  <c r="AG53" i="5"/>
  <c r="AH53" i="5"/>
  <c r="P210" i="4"/>
  <c r="L262" i="4" s="1"/>
  <c r="L244" i="4"/>
  <c r="CJ48" i="17"/>
  <c r="CJ46" i="17"/>
  <c r="CJ44" i="17"/>
  <c r="CJ42" i="17"/>
  <c r="CJ40" i="17"/>
  <c r="CJ38" i="17"/>
  <c r="CJ36" i="17"/>
  <c r="CJ34" i="17"/>
  <c r="CJ32" i="17"/>
  <c r="CJ30" i="17"/>
  <c r="CJ28" i="17"/>
  <c r="CJ26" i="17"/>
  <c r="CJ24" i="17"/>
  <c r="CJ22" i="17"/>
  <c r="CJ20" i="17"/>
  <c r="CJ18" i="17"/>
  <c r="CJ49" i="17"/>
  <c r="CJ47" i="17"/>
  <c r="CJ45" i="17"/>
  <c r="CJ43" i="17"/>
  <c r="CJ41" i="17"/>
  <c r="CJ39" i="17"/>
  <c r="CJ37" i="17"/>
  <c r="CJ35" i="17"/>
  <c r="CJ33" i="17"/>
  <c r="CJ31" i="17"/>
  <c r="CJ29" i="17"/>
  <c r="CJ27" i="17"/>
  <c r="CJ25" i="17"/>
  <c r="CJ23" i="17"/>
  <c r="CJ21" i="17"/>
  <c r="CJ19" i="17"/>
  <c r="Z127" i="17"/>
  <c r="Z53" i="17"/>
  <c r="Z75" i="17" s="1"/>
  <c r="Z96" i="17" s="1"/>
  <c r="Y127" i="17"/>
  <c r="Y53" i="17"/>
  <c r="Y75" i="17" s="1"/>
  <c r="Y96" i="17" s="1"/>
  <c r="AA29" i="17"/>
  <c r="Y127" i="16"/>
  <c r="Y53" i="16"/>
  <c r="Y75" i="16" s="1"/>
  <c r="Y96" i="16" s="1"/>
  <c r="Z29" i="16"/>
  <c r="AF51" i="9" l="1"/>
  <c r="AF51" i="5"/>
  <c r="AA127" i="17"/>
  <c r="AA53" i="17"/>
  <c r="AA75" i="17" s="1"/>
  <c r="AA96" i="17" s="1"/>
  <c r="AB29" i="17"/>
  <c r="Z127" i="16"/>
  <c r="Z53" i="16"/>
  <c r="Z75" i="16" s="1"/>
  <c r="Z96" i="16" s="1"/>
  <c r="AA29" i="16"/>
  <c r="AT6" i="5" l="1"/>
  <c r="AI51" i="5"/>
  <c r="AG51" i="5"/>
  <c r="AH51" i="5"/>
  <c r="AB127" i="17"/>
  <c r="AB53" i="17"/>
  <c r="AB75" i="17" s="1"/>
  <c r="AB96" i="17" s="1"/>
  <c r="AC29" i="17"/>
  <c r="AA127" i="16"/>
  <c r="AA53" i="16"/>
  <c r="AA75" i="16" s="1"/>
  <c r="AA96" i="16" s="1"/>
  <c r="AB29" i="16"/>
  <c r="AC127" i="17" l="1"/>
  <c r="AC53" i="17"/>
  <c r="AC75" i="17" s="1"/>
  <c r="AC96" i="17" s="1"/>
  <c r="AD29" i="17"/>
  <c r="AB127" i="16"/>
  <c r="AB53" i="16"/>
  <c r="AB75" i="16" s="1"/>
  <c r="AB96" i="16" s="1"/>
  <c r="AC29" i="16"/>
  <c r="AD127" i="17" l="1"/>
  <c r="AD53" i="17"/>
  <c r="AD75" i="17" s="1"/>
  <c r="AD96" i="17" s="1"/>
  <c r="AE29" i="17"/>
  <c r="AC127" i="16"/>
  <c r="AC53" i="16"/>
  <c r="AC75" i="16" s="1"/>
  <c r="AC96" i="16" s="1"/>
  <c r="AD29" i="16"/>
  <c r="AE127" i="17" l="1"/>
  <c r="AE53" i="17"/>
  <c r="AE75" i="17" s="1"/>
  <c r="AE96" i="17" s="1"/>
  <c r="AF29" i="17"/>
  <c r="AD127" i="16"/>
  <c r="AD53" i="16"/>
  <c r="AD75" i="16" s="1"/>
  <c r="AD96" i="16" s="1"/>
  <c r="AE29" i="16"/>
  <c r="AF127" i="17" l="1"/>
  <c r="AF53" i="17"/>
  <c r="AF75" i="17" s="1"/>
  <c r="AF96" i="17" s="1"/>
  <c r="AG29" i="17"/>
  <c r="AE127" i="16"/>
  <c r="AE53" i="16"/>
  <c r="AE75" i="16" s="1"/>
  <c r="AE96" i="16" s="1"/>
  <c r="AF29" i="16"/>
  <c r="AG127" i="17" l="1"/>
  <c r="AG53" i="17"/>
  <c r="AG75" i="17" s="1"/>
  <c r="AG96" i="17" s="1"/>
  <c r="AH29" i="17"/>
  <c r="AF127" i="16"/>
  <c r="AF53" i="16"/>
  <c r="AF75" i="16" s="1"/>
  <c r="AF96" i="16" s="1"/>
  <c r="AG29" i="16"/>
  <c r="AH127" i="17" l="1"/>
  <c r="AH53" i="17"/>
  <c r="AH75" i="17" s="1"/>
  <c r="AH96" i="17" s="1"/>
  <c r="AI29" i="17"/>
  <c r="AG127" i="16"/>
  <c r="AG53" i="16"/>
  <c r="AG75" i="16" s="1"/>
  <c r="AG96" i="16" s="1"/>
  <c r="AH29" i="16"/>
  <c r="AI127" i="17" l="1"/>
  <c r="AI53" i="17"/>
  <c r="AI75" i="17" s="1"/>
  <c r="AI96" i="17" s="1"/>
  <c r="AJ29" i="17"/>
  <c r="AH127" i="16"/>
  <c r="AH53" i="16"/>
  <c r="AH75" i="16" s="1"/>
  <c r="AH96" i="16" s="1"/>
  <c r="AI29" i="16"/>
  <c r="AJ127" i="17" l="1"/>
  <c r="AJ53" i="17"/>
  <c r="AJ75" i="17" s="1"/>
  <c r="AJ96" i="17" s="1"/>
  <c r="AK29" i="17"/>
  <c r="AI127" i="16"/>
  <c r="AI53" i="16"/>
  <c r="AI75" i="16" s="1"/>
  <c r="AI96" i="16" s="1"/>
  <c r="AJ29" i="16"/>
  <c r="AK127" i="17" l="1"/>
  <c r="AK53" i="17"/>
  <c r="AK75" i="17" s="1"/>
  <c r="AK96" i="17" s="1"/>
  <c r="AL29" i="17"/>
  <c r="AJ127" i="16"/>
  <c r="AJ53" i="16"/>
  <c r="AJ75" i="16" s="1"/>
  <c r="AJ96" i="16" s="1"/>
  <c r="AK29" i="16"/>
  <c r="AL127" i="17" l="1"/>
  <c r="AL53" i="17"/>
  <c r="AL75" i="17" s="1"/>
  <c r="AL96" i="17" s="1"/>
  <c r="AM29" i="17"/>
  <c r="AK127" i="16"/>
  <c r="AK53" i="16"/>
  <c r="AK75" i="16" s="1"/>
  <c r="AK96" i="16" s="1"/>
  <c r="AL29" i="16"/>
  <c r="AM127" i="17" l="1"/>
  <c r="AM53" i="17"/>
  <c r="AM75" i="17" s="1"/>
  <c r="AM96" i="17" s="1"/>
  <c r="AN29" i="17"/>
  <c r="AL127" i="16"/>
  <c r="AL53" i="16"/>
  <c r="AL75" i="16" s="1"/>
  <c r="AL96" i="16" s="1"/>
  <c r="AM29" i="16"/>
  <c r="AN127" i="17" l="1"/>
  <c r="AN53" i="17"/>
  <c r="AN75" i="17" s="1"/>
  <c r="AN96" i="17" s="1"/>
  <c r="AO29" i="17"/>
  <c r="AM127" i="16"/>
  <c r="AM53" i="16"/>
  <c r="AM75" i="16" s="1"/>
  <c r="AM96" i="16" s="1"/>
  <c r="AN29" i="16"/>
  <c r="AO127" i="17" l="1"/>
  <c r="AO53" i="17"/>
  <c r="AO75" i="17" s="1"/>
  <c r="AO96" i="17" s="1"/>
  <c r="AP29" i="17"/>
  <c r="AN127" i="16"/>
  <c r="AN53" i="16"/>
  <c r="AN75" i="16" s="1"/>
  <c r="AN96" i="16" s="1"/>
  <c r="AO29" i="16"/>
  <c r="AP127" i="17" l="1"/>
  <c r="AP53" i="17"/>
  <c r="AP75" i="17" s="1"/>
  <c r="AP96" i="17" s="1"/>
  <c r="AQ29" i="17"/>
  <c r="AO127" i="16"/>
  <c r="AO53" i="16"/>
  <c r="AO75" i="16" s="1"/>
  <c r="AO96" i="16" s="1"/>
  <c r="AP29" i="16"/>
  <c r="AQ127" i="17" l="1"/>
  <c r="AQ53" i="17"/>
  <c r="AQ75" i="17" s="1"/>
  <c r="AQ96" i="17" s="1"/>
  <c r="AR29" i="17"/>
  <c r="AP127" i="16"/>
  <c r="AP53" i="16"/>
  <c r="AP75" i="16" s="1"/>
  <c r="AP96" i="16" s="1"/>
  <c r="AQ29" i="16"/>
  <c r="AR127" i="17" l="1"/>
  <c r="AR53" i="17"/>
  <c r="AR75" i="17" s="1"/>
  <c r="AR96" i="17" s="1"/>
  <c r="AS29" i="17"/>
  <c r="AQ127" i="16"/>
  <c r="AQ53" i="16"/>
  <c r="AQ75" i="16" s="1"/>
  <c r="AQ96" i="16" s="1"/>
  <c r="AR29" i="16"/>
  <c r="AS127" i="17" l="1"/>
  <c r="AS53" i="17"/>
  <c r="AS75" i="17" s="1"/>
  <c r="AS96" i="17" s="1"/>
  <c r="AT29" i="17"/>
  <c r="AR127" i="16"/>
  <c r="AR53" i="16"/>
  <c r="AR75" i="16" s="1"/>
  <c r="AR96" i="16" s="1"/>
  <c r="AS29" i="16"/>
  <c r="AT127" i="17" l="1"/>
  <c r="AT53" i="17"/>
  <c r="AT75" i="17" s="1"/>
  <c r="AT96" i="17" s="1"/>
  <c r="AU29" i="17"/>
  <c r="AV29" i="17" s="1"/>
  <c r="AW29" i="17" s="1"/>
  <c r="AX29" i="17" s="1"/>
  <c r="AY29" i="17" s="1"/>
  <c r="AZ29" i="17" s="1"/>
  <c r="BA29" i="17" s="1"/>
  <c r="BB29" i="17" s="1"/>
  <c r="AS127" i="16"/>
  <c r="AS53" i="16"/>
  <c r="AS75" i="16" s="1"/>
  <c r="AS96" i="16" s="1"/>
  <c r="AT29" i="16"/>
  <c r="AU127" i="17" l="1"/>
  <c r="AU53" i="17"/>
  <c r="AU75" i="17" s="1"/>
  <c r="AU96" i="17" s="1"/>
  <c r="AT127" i="16"/>
  <c r="AT53" i="16"/>
  <c r="AT75" i="16" s="1"/>
  <c r="AT96" i="16" s="1"/>
  <c r="AU29" i="16"/>
  <c r="AU127" i="16" l="1"/>
  <c r="AU53" i="16"/>
  <c r="AU75" i="16" s="1"/>
  <c r="AU96" i="16" s="1"/>
  <c r="AN192" i="14" l="1"/>
  <c r="AO192" i="14"/>
  <c r="AL148" i="14"/>
  <c r="AK148" i="14"/>
  <c r="AM148" i="14"/>
  <c r="AN104" i="14"/>
  <c r="AO104" i="14"/>
  <c r="X188" i="14"/>
  <c r="Y188" i="14" s="1"/>
  <c r="Z188" i="14" s="1"/>
  <c r="AA188" i="14" s="1"/>
  <c r="AB188" i="14" s="1"/>
  <c r="AC188" i="14" s="1"/>
  <c r="AD188" i="14" s="1"/>
  <c r="AE188" i="14" s="1"/>
  <c r="AF188" i="14" s="1"/>
  <c r="AG188" i="14" s="1"/>
  <c r="AH188" i="14" s="1"/>
  <c r="AI188" i="14" s="1"/>
  <c r="AJ188" i="14" s="1"/>
  <c r="AK188" i="14" s="1"/>
  <c r="AL188" i="14" s="1"/>
  <c r="AM188" i="14" s="1"/>
  <c r="AN188" i="14" s="1"/>
  <c r="AO188" i="14" s="1"/>
  <c r="V176" i="14"/>
  <c r="R176" i="14" s="1"/>
  <c r="V175" i="14"/>
  <c r="R175" i="14" s="1"/>
  <c r="V174" i="14"/>
  <c r="R174" i="14" s="1"/>
  <c r="V173" i="14"/>
  <c r="R173" i="14" s="1"/>
  <c r="V172" i="14"/>
  <c r="R172" i="14" s="1"/>
  <c r="V171" i="14"/>
  <c r="R171" i="14" s="1"/>
  <c r="V170" i="14"/>
  <c r="R170" i="14"/>
  <c r="V169" i="14"/>
  <c r="R169" i="14" s="1"/>
  <c r="V168" i="14"/>
  <c r="R168" i="14" s="1"/>
  <c r="V167" i="14"/>
  <c r="R167" i="14" s="1"/>
  <c r="V166" i="14"/>
  <c r="R166" i="14" s="1"/>
  <c r="V165" i="14"/>
  <c r="R165" i="14" s="1"/>
  <c r="V164" i="14"/>
  <c r="R164" i="14" s="1"/>
  <c r="V163" i="14"/>
  <c r="R163" i="14" s="1"/>
  <c r="V162" i="14"/>
  <c r="R162" i="14" s="1"/>
  <c r="V161" i="14"/>
  <c r="R161" i="14" s="1"/>
  <c r="V160" i="14"/>
  <c r="R160" i="14" s="1"/>
  <c r="W159" i="14"/>
  <c r="V159" i="14"/>
  <c r="R159" i="14" s="1"/>
  <c r="AF158" i="14"/>
  <c r="AG158" i="14" s="1"/>
  <c r="AH158" i="14" s="1"/>
  <c r="AI158" i="14" s="1"/>
  <c r="AJ158" i="14" s="1"/>
  <c r="AK158" i="14" s="1"/>
  <c r="AL158" i="14" s="1"/>
  <c r="AM158" i="14" s="1"/>
  <c r="AN158" i="14" s="1"/>
  <c r="AO158" i="14" s="1"/>
  <c r="X158" i="14"/>
  <c r="Y158" i="14" s="1"/>
  <c r="Z158" i="14" s="1"/>
  <c r="AA158" i="14" s="1"/>
  <c r="AB158" i="14" s="1"/>
  <c r="AC158" i="14" s="1"/>
  <c r="AD158" i="14" s="1"/>
  <c r="AO142" i="14"/>
  <c r="AO143" i="14" s="1"/>
  <c r="AG141" i="14"/>
  <c r="AF141" i="14"/>
  <c r="AR139" i="14"/>
  <c r="AN139" i="14"/>
  <c r="AP142" i="14" s="1"/>
  <c r="AG137" i="14"/>
  <c r="AF137" i="14"/>
  <c r="AO130" i="14"/>
  <c r="AO131" i="14" s="1"/>
  <c r="AN130" i="14"/>
  <c r="AN131" i="14" s="1"/>
  <c r="AM130" i="14"/>
  <c r="AM131" i="14" s="1"/>
  <c r="AL130" i="14"/>
  <c r="AL131" i="14" s="1"/>
  <c r="AK130" i="14"/>
  <c r="AK131" i="14" s="1"/>
  <c r="AJ130" i="14"/>
  <c r="AJ131" i="14" s="1"/>
  <c r="AI130" i="14"/>
  <c r="AI131" i="14" s="1"/>
  <c r="AH130" i="14"/>
  <c r="AH131" i="14" s="1"/>
  <c r="AE130" i="14"/>
  <c r="AE131" i="14" s="1"/>
  <c r="AG129" i="14"/>
  <c r="AF129" i="14"/>
  <c r="AG128" i="14"/>
  <c r="AG130" i="14" s="1"/>
  <c r="AG131" i="14" s="1"/>
  <c r="AF128" i="14"/>
  <c r="AF130" i="14" s="1"/>
  <c r="AF131" i="14" s="1"/>
  <c r="AO124" i="14"/>
  <c r="AN124" i="14"/>
  <c r="AM124" i="14"/>
  <c r="AL124" i="14"/>
  <c r="AK124" i="14"/>
  <c r="AJ124" i="14"/>
  <c r="AI124" i="14"/>
  <c r="AH124" i="14"/>
  <c r="AE124" i="14"/>
  <c r="AG123" i="14"/>
  <c r="AG124" i="14" s="1"/>
  <c r="AF123" i="14"/>
  <c r="AF124" i="14" s="1"/>
  <c r="AX122" i="14"/>
  <c r="AY122" i="14" s="1"/>
  <c r="AQ121" i="14"/>
  <c r="AO119" i="14"/>
  <c r="AN119" i="14"/>
  <c r="AM119" i="14"/>
  <c r="AL119" i="14"/>
  <c r="AK119" i="14"/>
  <c r="AJ119" i="14"/>
  <c r="AI119" i="14"/>
  <c r="AH119" i="14"/>
  <c r="AE119" i="14"/>
  <c r="AG118" i="14"/>
  <c r="AG119" i="14" s="1"/>
  <c r="AF118" i="14"/>
  <c r="AF119" i="14" s="1"/>
  <c r="AN112" i="14"/>
  <c r="AN113" i="14" s="1"/>
  <c r="AM112" i="14"/>
  <c r="AM113" i="14" s="1"/>
  <c r="AL112" i="14"/>
  <c r="AL113" i="14" s="1"/>
  <c r="AK112" i="14"/>
  <c r="AK113" i="14" s="1"/>
  <c r="AJ112" i="14"/>
  <c r="AJ113" i="14" s="1"/>
  <c r="AI112" i="14"/>
  <c r="AI113" i="14" s="1"/>
  <c r="AH112" i="14"/>
  <c r="AH113" i="14" s="1"/>
  <c r="AE112" i="14"/>
  <c r="AE113" i="14" s="1"/>
  <c r="AG111" i="14"/>
  <c r="AF111" i="14"/>
  <c r="AO110" i="14"/>
  <c r="AO112" i="14" s="1"/>
  <c r="AO113" i="14" s="1"/>
  <c r="AG110" i="14"/>
  <c r="AF110" i="14"/>
  <c r="AF112" i="14" s="1"/>
  <c r="AF113" i="14" s="1"/>
  <c r="AM101" i="14"/>
  <c r="AM104" i="14" s="1"/>
  <c r="AL101" i="14"/>
  <c r="AL104" i="14" s="1"/>
  <c r="AK101" i="14"/>
  <c r="AK104" i="14" s="1"/>
  <c r="Y101" i="14"/>
  <c r="Y104" i="14" s="1"/>
  <c r="X101" i="14"/>
  <c r="X104" i="14" s="1"/>
  <c r="AC95" i="14"/>
  <c r="AB95" i="14"/>
  <c r="AA95" i="14"/>
  <c r="Z95" i="14"/>
  <c r="Y95" i="14"/>
  <c r="X95" i="14"/>
  <c r="AM93" i="14"/>
  <c r="Q79" i="14"/>
  <c r="Q80" i="14" s="1"/>
  <c r="P79" i="14"/>
  <c r="P80" i="14" s="1"/>
  <c r="O79" i="14"/>
  <c r="O80" i="14" s="1"/>
  <c r="N79" i="14"/>
  <c r="N80" i="14" s="1"/>
  <c r="M79" i="14"/>
  <c r="M80" i="14" s="1"/>
  <c r="L79" i="14"/>
  <c r="L80" i="14" s="1"/>
  <c r="K79" i="14"/>
  <c r="K80" i="14" s="1"/>
  <c r="J79" i="14"/>
  <c r="J80" i="14" s="1"/>
  <c r="I79" i="14"/>
  <c r="I80" i="14" s="1"/>
  <c r="H79" i="14"/>
  <c r="H80" i="14" s="1"/>
  <c r="G79" i="14"/>
  <c r="G80" i="14" s="1"/>
  <c r="F79" i="14"/>
  <c r="F80" i="14" s="1"/>
  <c r="E79" i="14"/>
  <c r="E80" i="14" s="1"/>
  <c r="D79" i="14"/>
  <c r="D80" i="14" s="1"/>
  <c r="C79" i="14"/>
  <c r="C80" i="14" s="1"/>
  <c r="B79" i="14"/>
  <c r="B80" i="14" s="1"/>
  <c r="AM76" i="14"/>
  <c r="AM75" i="14"/>
  <c r="AM74" i="14"/>
  <c r="AM73" i="14"/>
  <c r="AM92" i="14" s="1"/>
  <c r="AM68" i="14"/>
  <c r="AM67" i="14"/>
  <c r="AM66" i="14"/>
  <c r="AM65" i="14"/>
  <c r="AM64" i="14"/>
  <c r="AM63" i="14"/>
  <c r="AM62" i="14"/>
  <c r="AM61" i="14"/>
  <c r="AM60" i="14"/>
  <c r="AL60" i="14"/>
  <c r="AK60" i="14"/>
  <c r="AM59" i="14"/>
  <c r="AM58" i="14"/>
  <c r="AM57" i="14"/>
  <c r="AM56" i="14"/>
  <c r="AM55" i="14"/>
  <c r="AM54" i="14"/>
  <c r="AM53" i="14"/>
  <c r="AM52" i="14"/>
  <c r="AO205" i="14"/>
  <c r="AN205" i="14"/>
  <c r="AO199" i="14"/>
  <c r="AN199" i="14"/>
  <c r="AO198" i="14"/>
  <c r="AN198" i="14"/>
  <c r="AO197" i="14"/>
  <c r="AN197" i="14"/>
  <c r="AO196" i="14"/>
  <c r="AN196" i="14"/>
  <c r="AO195" i="14"/>
  <c r="AN195" i="14"/>
  <c r="AO193" i="14"/>
  <c r="AN193" i="14"/>
  <c r="AO191" i="14"/>
  <c r="AN191" i="14"/>
  <c r="AO190" i="14"/>
  <c r="AN190" i="14"/>
  <c r="W27" i="14"/>
  <c r="W160" i="14" s="1"/>
  <c r="AO189" i="14"/>
  <c r="AN189" i="14"/>
  <c r="AR20" i="14"/>
  <c r="AQ176" i="14" s="1"/>
  <c r="AR176" i="14" s="1"/>
  <c r="AO20" i="14"/>
  <c r="AO43" i="14" s="1"/>
  <c r="AO115" i="14" s="1"/>
  <c r="AO206" i="14" s="1"/>
  <c r="AN20" i="14"/>
  <c r="AN43" i="14" s="1"/>
  <c r="AN115" i="14" s="1"/>
  <c r="AN206" i="14" s="1"/>
  <c r="AR19" i="14"/>
  <c r="AQ175" i="14" s="1"/>
  <c r="AR175" i="14" s="1"/>
  <c r="AO19" i="14"/>
  <c r="AO42" i="14" s="1"/>
  <c r="AN19" i="14"/>
  <c r="AN42" i="14" s="1"/>
  <c r="AW18" i="14"/>
  <c r="AR18" i="14"/>
  <c r="AQ174" i="14" s="1"/>
  <c r="AR174" i="14" s="1"/>
  <c r="AO18" i="14"/>
  <c r="AO41" i="14" s="1"/>
  <c r="AO134" i="14" s="1"/>
  <c r="AO204" i="14" s="1"/>
  <c r="AN18" i="14"/>
  <c r="AN41" i="14" s="1"/>
  <c r="AR17" i="14"/>
  <c r="AQ173" i="14" s="1"/>
  <c r="AR173" i="14" s="1"/>
  <c r="AO17" i="14"/>
  <c r="AO40" i="14" s="1"/>
  <c r="AO132" i="14" s="1"/>
  <c r="AO203" i="14" s="1"/>
  <c r="AN17" i="14"/>
  <c r="AN40" i="14" s="1"/>
  <c r="AR16" i="14"/>
  <c r="AQ172" i="14" s="1"/>
  <c r="AR172" i="14" s="1"/>
  <c r="AO16" i="14"/>
  <c r="AO39" i="14" s="1"/>
  <c r="AO114" i="14" s="1"/>
  <c r="AO202" i="14" s="1"/>
  <c r="AN16" i="14"/>
  <c r="AN39" i="14" s="1"/>
  <c r="AN114" i="14" s="1"/>
  <c r="AN202" i="14" s="1"/>
  <c r="AR15" i="14"/>
  <c r="AQ171" i="14" s="1"/>
  <c r="AR171" i="14" s="1"/>
  <c r="AO15" i="14"/>
  <c r="AO38" i="14" s="1"/>
  <c r="AN15" i="14"/>
  <c r="AN38" i="14" s="1"/>
  <c r="AN125" i="14" s="1"/>
  <c r="AR14" i="14"/>
  <c r="AQ170" i="14" s="1"/>
  <c r="AR170" i="14" s="1"/>
  <c r="AO14" i="14"/>
  <c r="AO37" i="14" s="1"/>
  <c r="AO120" i="14" s="1"/>
  <c r="AO200" i="14" s="1"/>
  <c r="AN14" i="14"/>
  <c r="AN37" i="14" s="1"/>
  <c r="AN120" i="14" s="1"/>
  <c r="AR13" i="14"/>
  <c r="AQ169" i="14" s="1"/>
  <c r="AR169" i="14" s="1"/>
  <c r="AO13" i="14"/>
  <c r="AO36" i="14" s="1"/>
  <c r="AN13" i="14"/>
  <c r="AN36" i="14" s="1"/>
  <c r="BC12" i="14"/>
  <c r="BD12" i="14" s="1"/>
  <c r="BA12" i="14"/>
  <c r="AW12" i="14"/>
  <c r="AX12" i="14" s="1"/>
  <c r="AT12" i="14"/>
  <c r="AU12" i="14" s="1"/>
  <c r="AR12" i="14"/>
  <c r="AQ168" i="14" s="1"/>
  <c r="AR168" i="14" s="1"/>
  <c r="AO12" i="14"/>
  <c r="AO35" i="14" s="1"/>
  <c r="AN12" i="14"/>
  <c r="AN35" i="14" s="1"/>
  <c r="AR11" i="14"/>
  <c r="AQ167" i="14" s="1"/>
  <c r="AR167" i="14" s="1"/>
  <c r="AO11" i="14"/>
  <c r="AO34" i="14" s="1"/>
  <c r="AN11" i="14"/>
  <c r="AN34" i="14" s="1"/>
  <c r="AR10" i="14"/>
  <c r="AQ166" i="14" s="1"/>
  <c r="AR166" i="14" s="1"/>
  <c r="AO10" i="14"/>
  <c r="AO33" i="14" s="1"/>
  <c r="AN10" i="14"/>
  <c r="AN33" i="14" s="1"/>
  <c r="AR9" i="14"/>
  <c r="AQ165" i="14" s="1"/>
  <c r="AR165" i="14" s="1"/>
  <c r="AO9" i="14"/>
  <c r="AO32" i="14" s="1"/>
  <c r="AN9" i="14"/>
  <c r="AN32" i="14" s="1"/>
  <c r="AR8" i="14"/>
  <c r="AQ164" i="14" s="1"/>
  <c r="AR164" i="14" s="1"/>
  <c r="AO8" i="14"/>
  <c r="AN8" i="14"/>
  <c r="AR7" i="14"/>
  <c r="AQ163" i="14" s="1"/>
  <c r="AR163" i="14" s="1"/>
  <c r="AO7" i="14"/>
  <c r="AO30" i="14" s="1"/>
  <c r="AN7" i="14"/>
  <c r="AN30" i="14" s="1"/>
  <c r="AR6" i="14"/>
  <c r="AQ162" i="14" s="1"/>
  <c r="AR162" i="14" s="1"/>
  <c r="AO6" i="14"/>
  <c r="AO29" i="14" s="1"/>
  <c r="AN6" i="14"/>
  <c r="AN29" i="14" s="1"/>
  <c r="AR5" i="14"/>
  <c r="AQ161" i="14" s="1"/>
  <c r="AR161" i="14" s="1"/>
  <c r="AO5" i="14"/>
  <c r="AO28" i="14" s="1"/>
  <c r="AN5" i="14"/>
  <c r="AN28" i="14" s="1"/>
  <c r="AR4" i="14"/>
  <c r="AQ160" i="14" s="1"/>
  <c r="AR160" i="14" s="1"/>
  <c r="AO4" i="14"/>
  <c r="AO27" i="14" s="1"/>
  <c r="AN4" i="14"/>
  <c r="AN27" i="14" s="1"/>
  <c r="W4" i="14"/>
  <c r="W5" i="14" s="1"/>
  <c r="W6" i="14" s="1"/>
  <c r="W7" i="14" s="1"/>
  <c r="W8" i="14" s="1"/>
  <c r="W9" i="14" s="1"/>
  <c r="W10" i="14" s="1"/>
  <c r="W11" i="14" s="1"/>
  <c r="W12" i="14" s="1"/>
  <c r="W13" i="14" s="1"/>
  <c r="W14" i="14" s="1"/>
  <c r="W15" i="14" s="1"/>
  <c r="W16" i="14" s="1"/>
  <c r="W17" i="14" s="1"/>
  <c r="W18" i="14" s="1"/>
  <c r="W19" i="14" s="1"/>
  <c r="W20" i="14" s="1"/>
  <c r="AR3" i="14"/>
  <c r="AQ159" i="14" s="1"/>
  <c r="AR159" i="14" s="1"/>
  <c r="AO3" i="14"/>
  <c r="AN3" i="14"/>
  <c r="AD2" i="14"/>
  <c r="AD95" i="14" s="1"/>
  <c r="AN31" i="14" l="1"/>
  <c r="AN103" i="14"/>
  <c r="AN105" i="14" s="1"/>
  <c r="AN106" i="14" s="1"/>
  <c r="AO31" i="14"/>
  <c r="AO103" i="14"/>
  <c r="AO105" i="14" s="1"/>
  <c r="AO106" i="14" s="1"/>
  <c r="AN21" i="14"/>
  <c r="AN22" i="14" s="1"/>
  <c r="AN26" i="14"/>
  <c r="AN45" i="14" s="1"/>
  <c r="AN46" i="14" s="1"/>
  <c r="AO21" i="14"/>
  <c r="AO22" i="14" s="1"/>
  <c r="AO26" i="14"/>
  <c r="AO45" i="14" s="1"/>
  <c r="AO46" i="14" s="1"/>
  <c r="AG112" i="14"/>
  <c r="AG113" i="14" s="1"/>
  <c r="AM51" i="14"/>
  <c r="AM70" i="14" s="1"/>
  <c r="AN134" i="14"/>
  <c r="AN204" i="14" s="1"/>
  <c r="AM139" i="14"/>
  <c r="AL139" i="14" s="1"/>
  <c r="AK139" i="14" s="1"/>
  <c r="AN132" i="14"/>
  <c r="AN203" i="14" s="1"/>
  <c r="AM71" i="14"/>
  <c r="AF2" i="14"/>
  <c r="AF108" i="14" s="1"/>
  <c r="AE2" i="14"/>
  <c r="AR22" i="14"/>
  <c r="AR23" i="14"/>
  <c r="AO47" i="14"/>
  <c r="AN194" i="14"/>
  <c r="W28" i="14"/>
  <c r="AX140" i="14"/>
  <c r="AO125" i="14"/>
  <c r="AO201" i="14" s="1"/>
  <c r="AN47" i="14"/>
  <c r="AO194" i="14"/>
  <c r="AN140" i="14" l="1"/>
  <c r="AN142" i="14" s="1"/>
  <c r="AN143" i="14" s="1"/>
  <c r="AE108" i="14"/>
  <c r="AE95" i="14"/>
  <c r="AG2" i="14"/>
  <c r="AJ139" i="14"/>
  <c r="W161" i="14"/>
  <c r="W29" i="14"/>
  <c r="AG108" i="14" l="1"/>
  <c r="AG95" i="14"/>
  <c r="W162" i="14"/>
  <c r="W30" i="14"/>
  <c r="AI139" i="14"/>
  <c r="AH2" i="14"/>
  <c r="AN201" i="14"/>
  <c r="AN200" i="14"/>
  <c r="AH108" i="14" l="1"/>
  <c r="AH95" i="14"/>
  <c r="W163" i="14"/>
  <c r="W31" i="14"/>
  <c r="AI2" i="14"/>
  <c r="AH139" i="14"/>
  <c r="AI108" i="14" l="1"/>
  <c r="AI95" i="14"/>
  <c r="W164" i="14"/>
  <c r="W32" i="14"/>
  <c r="AG139" i="14"/>
  <c r="AJ2" i="14"/>
  <c r="AJ108" i="14" l="1"/>
  <c r="AJ95" i="14"/>
  <c r="AK2" i="14"/>
  <c r="AF139" i="14"/>
  <c r="W165" i="14"/>
  <c r="W33" i="14"/>
  <c r="AK108" i="14" l="1"/>
  <c r="AK95" i="14"/>
  <c r="W166" i="14"/>
  <c r="W34" i="14"/>
  <c r="AE139" i="14"/>
  <c r="AL2" i="14"/>
  <c r="AL108" i="14" l="1"/>
  <c r="AL95" i="14"/>
  <c r="AM2" i="14"/>
  <c r="W167" i="14"/>
  <c r="W35" i="14"/>
  <c r="AM108" i="14" l="1"/>
  <c r="AM95" i="14"/>
  <c r="W168" i="14"/>
  <c r="W36" i="14"/>
  <c r="AN2" i="14"/>
  <c r="AN108" i="14" l="1"/>
  <c r="AN95" i="14"/>
  <c r="AO2" i="14"/>
  <c r="AO95" i="14" s="1"/>
  <c r="W169" i="14"/>
  <c r="W37" i="14"/>
  <c r="W170" i="14" l="1"/>
  <c r="W38" i="14"/>
  <c r="W171" i="14" l="1"/>
  <c r="W39" i="14"/>
  <c r="W172" i="14" l="1"/>
  <c r="W40" i="14"/>
  <c r="W173" i="14" l="1"/>
  <c r="W41" i="14"/>
  <c r="W174" i="14" l="1"/>
  <c r="W42" i="14"/>
  <c r="W175" i="14" l="1"/>
  <c r="W43" i="14"/>
  <c r="W176" i="14" s="1"/>
  <c r="BJ24" i="12" l="1"/>
  <c r="BI24" i="12"/>
  <c r="BH24" i="12"/>
  <c r="BG24" i="12"/>
  <c r="BF24" i="12"/>
  <c r="BE24" i="12"/>
  <c r="BD24" i="12"/>
  <c r="BC24" i="12"/>
  <c r="BB24" i="12"/>
  <c r="BA24" i="12"/>
  <c r="AZ24" i="12"/>
  <c r="AY24" i="12"/>
  <c r="AX24" i="12"/>
  <c r="AW24" i="12"/>
  <c r="AV24" i="12"/>
  <c r="AU24" i="12"/>
  <c r="AT24" i="12"/>
  <c r="AS24" i="12"/>
  <c r="AR24" i="12"/>
  <c r="AQ24" i="12"/>
  <c r="AP24" i="12"/>
  <c r="AO24" i="12"/>
  <c r="AN24" i="12"/>
  <c r="AM24" i="12"/>
  <c r="AL24" i="12"/>
  <c r="AK24" i="12"/>
  <c r="AJ24" i="12"/>
  <c r="AI24" i="12"/>
  <c r="BJ21" i="12"/>
  <c r="BI21" i="12"/>
  <c r="BH21" i="12"/>
  <c r="BG21" i="12"/>
  <c r="BF21" i="12"/>
  <c r="BE21" i="12"/>
  <c r="BD21" i="12"/>
  <c r="BC21" i="12"/>
  <c r="BB21" i="12"/>
  <c r="BA21" i="12"/>
  <c r="AZ21" i="12"/>
  <c r="AY21" i="12"/>
  <c r="AX21" i="12"/>
  <c r="AW21" i="12"/>
  <c r="AV21" i="12"/>
  <c r="AU21" i="12"/>
  <c r="AT21" i="12"/>
  <c r="AS21" i="12"/>
  <c r="AR21" i="12"/>
  <c r="AQ21" i="12"/>
  <c r="AP21" i="12"/>
  <c r="AO21" i="12"/>
  <c r="AN21" i="12"/>
  <c r="AM21" i="12"/>
  <c r="AL21" i="12"/>
  <c r="AK21" i="12"/>
  <c r="AJ21" i="12"/>
  <c r="AI21" i="12"/>
  <c r="BJ20" i="12"/>
  <c r="BI20" i="12"/>
  <c r="BH20" i="12"/>
  <c r="BG20" i="12"/>
  <c r="BF20" i="12"/>
  <c r="BE20" i="12"/>
  <c r="BD20" i="12"/>
  <c r="BC20" i="12"/>
  <c r="BB20" i="12"/>
  <c r="BA20" i="12"/>
  <c r="AZ20" i="12"/>
  <c r="AY20" i="12"/>
  <c r="AX20" i="12"/>
  <c r="AW20" i="12"/>
  <c r="AV20" i="12"/>
  <c r="AU20" i="12"/>
  <c r="AT20" i="12"/>
  <c r="AS20" i="12"/>
  <c r="AR20" i="12"/>
  <c r="AQ20" i="12"/>
  <c r="AP20" i="12"/>
  <c r="AO20" i="12"/>
  <c r="AN20" i="12"/>
  <c r="AM20" i="12"/>
  <c r="AL20" i="12"/>
  <c r="AK20" i="12"/>
  <c r="AJ20" i="12"/>
  <c r="AI20" i="12"/>
  <c r="BJ19" i="12"/>
  <c r="AM20" i="14" s="1"/>
  <c r="AM43" i="14" s="1"/>
  <c r="AM115" i="14" s="1"/>
  <c r="AM176" i="14" s="1"/>
  <c r="AM206" i="14" s="1"/>
  <c r="V25" i="17" s="1"/>
  <c r="BI19" i="12"/>
  <c r="AL20" i="14" s="1"/>
  <c r="AL43" i="14" s="1"/>
  <c r="AL115" i="14" s="1"/>
  <c r="AL176" i="14" s="1"/>
  <c r="AL206" i="14" s="1"/>
  <c r="U25" i="17" s="1"/>
  <c r="BH19" i="12"/>
  <c r="AK20" i="14" s="1"/>
  <c r="AK43" i="14" s="1"/>
  <c r="AK115" i="14" s="1"/>
  <c r="AK176" i="14" s="1"/>
  <c r="AK206" i="14" s="1"/>
  <c r="T25" i="17" s="1"/>
  <c r="BG19" i="12"/>
  <c r="AJ20" i="14" s="1"/>
  <c r="AJ43" i="14" s="1"/>
  <c r="AJ115" i="14" s="1"/>
  <c r="AJ176" i="14" s="1"/>
  <c r="AJ206" i="14" s="1"/>
  <c r="S25" i="17" s="1"/>
  <c r="BF19" i="12"/>
  <c r="AI20" i="14" s="1"/>
  <c r="AI43" i="14" s="1"/>
  <c r="AI115" i="14" s="1"/>
  <c r="AI176" i="14" s="1"/>
  <c r="AI206" i="14" s="1"/>
  <c r="R25" i="17" s="1"/>
  <c r="BE19" i="12"/>
  <c r="AH20" i="14" s="1"/>
  <c r="AH43" i="14" s="1"/>
  <c r="AH115" i="14" s="1"/>
  <c r="AH176" i="14" s="1"/>
  <c r="AH206" i="14" s="1"/>
  <c r="Q25" i="17" s="1"/>
  <c r="BD19" i="12"/>
  <c r="AG20" i="14" s="1"/>
  <c r="AG43" i="14" s="1"/>
  <c r="AG115" i="14" s="1"/>
  <c r="AG176" i="14" s="1"/>
  <c r="AG206" i="14" s="1"/>
  <c r="P25" i="17" s="1"/>
  <c r="BC19" i="12"/>
  <c r="AF20" i="14" s="1"/>
  <c r="AF43" i="14" s="1"/>
  <c r="AF115" i="14" s="1"/>
  <c r="AF176" i="14" s="1"/>
  <c r="AF206" i="14" s="1"/>
  <c r="O25" i="17" s="1"/>
  <c r="BB19" i="12"/>
  <c r="AE20" i="14" s="1"/>
  <c r="AE43" i="14" s="1"/>
  <c r="AE115" i="14" s="1"/>
  <c r="AE176" i="14" s="1"/>
  <c r="AE206" i="14" s="1"/>
  <c r="N25" i="17" s="1"/>
  <c r="BA19" i="12"/>
  <c r="AD20" i="14" s="1"/>
  <c r="AD43" i="14" s="1"/>
  <c r="AD176" i="14" s="1"/>
  <c r="AZ19" i="12"/>
  <c r="AC20" i="14" s="1"/>
  <c r="AC43" i="14" s="1"/>
  <c r="AC176" i="14" s="1"/>
  <c r="AY19" i="12"/>
  <c r="AB20" i="14" s="1"/>
  <c r="AB43" i="14" s="1"/>
  <c r="AB176" i="14" s="1"/>
  <c r="AX19" i="12"/>
  <c r="AA20" i="14" s="1"/>
  <c r="AA43" i="14" s="1"/>
  <c r="AA176" i="14" s="1"/>
  <c r="AW19" i="12"/>
  <c r="Z20" i="14" s="1"/>
  <c r="Z43" i="14" s="1"/>
  <c r="Z176" i="14" s="1"/>
  <c r="AV19" i="12"/>
  <c r="Y20" i="14" s="1"/>
  <c r="Y43" i="14" s="1"/>
  <c r="Y176" i="14" s="1"/>
  <c r="AU19" i="12"/>
  <c r="X20" i="14" s="1"/>
  <c r="X43" i="14" s="1"/>
  <c r="X176" i="14" s="1"/>
  <c r="AT19" i="12"/>
  <c r="AS19" i="12"/>
  <c r="AR19" i="12"/>
  <c r="AQ19" i="12"/>
  <c r="AP19" i="12"/>
  <c r="AO19" i="12"/>
  <c r="AN19" i="12"/>
  <c r="AM19" i="12"/>
  <c r="AL19" i="12"/>
  <c r="AK19" i="12"/>
  <c r="AJ19" i="12"/>
  <c r="AI19" i="12"/>
  <c r="BJ18" i="12"/>
  <c r="AM19" i="14" s="1"/>
  <c r="AM42" i="14" s="1"/>
  <c r="BI18" i="12"/>
  <c r="AL19" i="14" s="1"/>
  <c r="AL42" i="14" s="1"/>
  <c r="BH18" i="12"/>
  <c r="AK19" i="14" s="1"/>
  <c r="AK42" i="14" s="1"/>
  <c r="BG18" i="12"/>
  <c r="AJ19" i="14" s="1"/>
  <c r="AJ42" i="14" s="1"/>
  <c r="BF18" i="12"/>
  <c r="AI19" i="14" s="1"/>
  <c r="AI42" i="14" s="1"/>
  <c r="BE18" i="12"/>
  <c r="AH19" i="14" s="1"/>
  <c r="AH42" i="14" s="1"/>
  <c r="BD18" i="12"/>
  <c r="AG19" i="14" s="1"/>
  <c r="AG42" i="14" s="1"/>
  <c r="BC18" i="12"/>
  <c r="AF19" i="14" s="1"/>
  <c r="AF42" i="14" s="1"/>
  <c r="BB18" i="12"/>
  <c r="AE19" i="14" s="1"/>
  <c r="AE42" i="14" s="1"/>
  <c r="BA18" i="12"/>
  <c r="AD19" i="14" s="1"/>
  <c r="AD42" i="14" s="1"/>
  <c r="AZ18" i="12"/>
  <c r="AC19" i="14" s="1"/>
  <c r="AC42" i="14" s="1"/>
  <c r="AY18" i="12"/>
  <c r="AB19" i="14" s="1"/>
  <c r="AB42" i="14" s="1"/>
  <c r="AX18" i="12"/>
  <c r="AA19" i="14" s="1"/>
  <c r="AA42" i="14" s="1"/>
  <c r="AW18" i="12"/>
  <c r="Z19" i="14" s="1"/>
  <c r="Z42" i="14" s="1"/>
  <c r="AV18" i="12"/>
  <c r="Y19" i="14" s="1"/>
  <c r="Y42" i="14" s="1"/>
  <c r="AU18" i="12"/>
  <c r="X19" i="14" s="1"/>
  <c r="X42" i="14" s="1"/>
  <c r="AT18" i="12"/>
  <c r="AS18" i="12"/>
  <c r="AR18" i="12"/>
  <c r="AQ18" i="12"/>
  <c r="AP18" i="12"/>
  <c r="AO18" i="12"/>
  <c r="AN18" i="12"/>
  <c r="AM18" i="12"/>
  <c r="AL18" i="12"/>
  <c r="AK18" i="12"/>
  <c r="AJ18" i="12"/>
  <c r="AI18" i="12"/>
  <c r="BJ17" i="12"/>
  <c r="AM18" i="14" s="1"/>
  <c r="AM41" i="14" s="1"/>
  <c r="AM134" i="14" s="1"/>
  <c r="AM174" i="14" s="1"/>
  <c r="AM204" i="14" s="1"/>
  <c r="V23" i="17" s="1"/>
  <c r="BI17" i="12"/>
  <c r="AL18" i="14" s="1"/>
  <c r="AL41" i="14" s="1"/>
  <c r="AL134" i="14" s="1"/>
  <c r="AL174" i="14" s="1"/>
  <c r="AL204" i="14" s="1"/>
  <c r="U23" i="17" s="1"/>
  <c r="BH17" i="12"/>
  <c r="AK18" i="14" s="1"/>
  <c r="AK41" i="14" s="1"/>
  <c r="AK134" i="14" s="1"/>
  <c r="AK174" i="14" s="1"/>
  <c r="AK204" i="14" s="1"/>
  <c r="T23" i="17" s="1"/>
  <c r="BG17" i="12"/>
  <c r="AJ18" i="14" s="1"/>
  <c r="AJ41" i="14" s="1"/>
  <c r="AJ134" i="14" s="1"/>
  <c r="AJ174" i="14" s="1"/>
  <c r="AJ204" i="14" s="1"/>
  <c r="S23" i="17" s="1"/>
  <c r="BF17" i="12"/>
  <c r="AI18" i="14" s="1"/>
  <c r="AI41" i="14" s="1"/>
  <c r="AI134" i="14" s="1"/>
  <c r="AI174" i="14" s="1"/>
  <c r="AI204" i="14" s="1"/>
  <c r="R23" i="17" s="1"/>
  <c r="BE17" i="12"/>
  <c r="AH18" i="14" s="1"/>
  <c r="AH41" i="14" s="1"/>
  <c r="AH134" i="14" s="1"/>
  <c r="AH174" i="14" s="1"/>
  <c r="AH204" i="14" s="1"/>
  <c r="Q23" i="17" s="1"/>
  <c r="BD17" i="12"/>
  <c r="AG18" i="14" s="1"/>
  <c r="AG41" i="14" s="1"/>
  <c r="AG134" i="14" s="1"/>
  <c r="AG174" i="14" s="1"/>
  <c r="AG204" i="14" s="1"/>
  <c r="P23" i="17" s="1"/>
  <c r="BC17" i="12"/>
  <c r="AF18" i="14" s="1"/>
  <c r="AF41" i="14" s="1"/>
  <c r="AF134" i="14" s="1"/>
  <c r="AF174" i="14" s="1"/>
  <c r="AF204" i="14" s="1"/>
  <c r="O23" i="17" s="1"/>
  <c r="BB17" i="12"/>
  <c r="AE18" i="14" s="1"/>
  <c r="AE41" i="14" s="1"/>
  <c r="AE134" i="14" s="1"/>
  <c r="AE174" i="14" s="1"/>
  <c r="AE204" i="14" s="1"/>
  <c r="N23" i="17" s="1"/>
  <c r="BA17" i="12"/>
  <c r="AD18" i="14" s="1"/>
  <c r="AD41" i="14" s="1"/>
  <c r="AD174" i="14" s="1"/>
  <c r="AZ17" i="12"/>
  <c r="AC18" i="14" s="1"/>
  <c r="AC41" i="14" s="1"/>
  <c r="AC174" i="14" s="1"/>
  <c r="AY17" i="12"/>
  <c r="AB18" i="14" s="1"/>
  <c r="AB41" i="14" s="1"/>
  <c r="AB174" i="14" s="1"/>
  <c r="AX17" i="12"/>
  <c r="AA18" i="14" s="1"/>
  <c r="AA41" i="14" s="1"/>
  <c r="AA174" i="14" s="1"/>
  <c r="AW17" i="12"/>
  <c r="Z18" i="14" s="1"/>
  <c r="Z41" i="14" s="1"/>
  <c r="Z174" i="14" s="1"/>
  <c r="AV17" i="12"/>
  <c r="Y18" i="14" s="1"/>
  <c r="Y41" i="14" s="1"/>
  <c r="Y174" i="14" s="1"/>
  <c r="AU17" i="12"/>
  <c r="X18" i="14" s="1"/>
  <c r="X41" i="14" s="1"/>
  <c r="X174" i="14" s="1"/>
  <c r="AT17" i="12"/>
  <c r="AS17" i="12"/>
  <c r="AR17" i="12"/>
  <c r="AQ17" i="12"/>
  <c r="AP17" i="12"/>
  <c r="AO17" i="12"/>
  <c r="AN17" i="12"/>
  <c r="AM17" i="12"/>
  <c r="AL17" i="12"/>
  <c r="AK17" i="12"/>
  <c r="AJ17" i="12"/>
  <c r="AI17" i="12"/>
  <c r="BJ16" i="12"/>
  <c r="AM17" i="14" s="1"/>
  <c r="AM40" i="14" s="1"/>
  <c r="AM132" i="14" s="1"/>
  <c r="AM173" i="14" s="1"/>
  <c r="AM203" i="14" s="1"/>
  <c r="V22" i="17" s="1"/>
  <c r="BI16" i="12"/>
  <c r="AL17" i="14" s="1"/>
  <c r="AL40" i="14" s="1"/>
  <c r="AL132" i="14" s="1"/>
  <c r="AL173" i="14" s="1"/>
  <c r="AL203" i="14" s="1"/>
  <c r="U22" i="17" s="1"/>
  <c r="BH16" i="12"/>
  <c r="AK17" i="14" s="1"/>
  <c r="AK40" i="14" s="1"/>
  <c r="AK132" i="14" s="1"/>
  <c r="AK173" i="14" s="1"/>
  <c r="AK203" i="14" s="1"/>
  <c r="T22" i="17" s="1"/>
  <c r="BG16" i="12"/>
  <c r="AJ17" i="14" s="1"/>
  <c r="AJ40" i="14" s="1"/>
  <c r="AJ132" i="14" s="1"/>
  <c r="AJ173" i="14" s="1"/>
  <c r="AJ203" i="14" s="1"/>
  <c r="S22" i="17" s="1"/>
  <c r="BF16" i="12"/>
  <c r="AI17" i="14" s="1"/>
  <c r="AI40" i="14" s="1"/>
  <c r="AI132" i="14" s="1"/>
  <c r="AI173" i="14" s="1"/>
  <c r="AI203" i="14" s="1"/>
  <c r="R22" i="17" s="1"/>
  <c r="BE16" i="12"/>
  <c r="AH17" i="14" s="1"/>
  <c r="AH40" i="14" s="1"/>
  <c r="AH132" i="14" s="1"/>
  <c r="AH173" i="14" s="1"/>
  <c r="AH203" i="14" s="1"/>
  <c r="Q22" i="17" s="1"/>
  <c r="BD16" i="12"/>
  <c r="AG17" i="14" s="1"/>
  <c r="AG40" i="14" s="1"/>
  <c r="AG132" i="14" s="1"/>
  <c r="AG173" i="14" s="1"/>
  <c r="AG203" i="14" s="1"/>
  <c r="P22" i="17" s="1"/>
  <c r="BC16" i="12"/>
  <c r="AF17" i="14" s="1"/>
  <c r="AF40" i="14" s="1"/>
  <c r="AF132" i="14" s="1"/>
  <c r="AF173" i="14" s="1"/>
  <c r="AF203" i="14" s="1"/>
  <c r="O22" i="17" s="1"/>
  <c r="BB16" i="12"/>
  <c r="AE17" i="14" s="1"/>
  <c r="AE40" i="14" s="1"/>
  <c r="AE132" i="14" s="1"/>
  <c r="AE173" i="14" s="1"/>
  <c r="AE203" i="14" s="1"/>
  <c r="N22" i="17" s="1"/>
  <c r="BA16" i="12"/>
  <c r="AD17" i="14" s="1"/>
  <c r="AD40" i="14" s="1"/>
  <c r="AD173" i="14" s="1"/>
  <c r="AZ16" i="12"/>
  <c r="AC17" i="14" s="1"/>
  <c r="AC40" i="14" s="1"/>
  <c r="AC173" i="14" s="1"/>
  <c r="AY16" i="12"/>
  <c r="AB17" i="14" s="1"/>
  <c r="AB40" i="14" s="1"/>
  <c r="AB173" i="14" s="1"/>
  <c r="AX16" i="12"/>
  <c r="AA17" i="14" s="1"/>
  <c r="AA40" i="14" s="1"/>
  <c r="AA173" i="14" s="1"/>
  <c r="AW16" i="12"/>
  <c r="Z17" i="14" s="1"/>
  <c r="Z40" i="14" s="1"/>
  <c r="Z173" i="14" s="1"/>
  <c r="AV16" i="12"/>
  <c r="Y17" i="14" s="1"/>
  <c r="Y40" i="14" s="1"/>
  <c r="Y173" i="14" s="1"/>
  <c r="AU16" i="12"/>
  <c r="X17" i="14" s="1"/>
  <c r="X40" i="14" s="1"/>
  <c r="X173" i="14" s="1"/>
  <c r="AT16" i="12"/>
  <c r="AS16" i="12"/>
  <c r="AR16" i="12"/>
  <c r="AQ16" i="12"/>
  <c r="AP16" i="12"/>
  <c r="AO16" i="12"/>
  <c r="AN16" i="12"/>
  <c r="AM16" i="12"/>
  <c r="AL16" i="12"/>
  <c r="AK16" i="12"/>
  <c r="AJ16" i="12"/>
  <c r="AI16" i="12"/>
  <c r="BJ15" i="12"/>
  <c r="AM16" i="14" s="1"/>
  <c r="AM39" i="14" s="1"/>
  <c r="AM114" i="14" s="1"/>
  <c r="AM172" i="14" s="1"/>
  <c r="AM202" i="14" s="1"/>
  <c r="V21" i="17" s="1"/>
  <c r="BI15" i="12"/>
  <c r="AL16" i="14" s="1"/>
  <c r="AL39" i="14" s="1"/>
  <c r="AL114" i="14" s="1"/>
  <c r="AL172" i="14" s="1"/>
  <c r="AL202" i="14" s="1"/>
  <c r="U21" i="17" s="1"/>
  <c r="BH15" i="12"/>
  <c r="AK16" i="14" s="1"/>
  <c r="AK39" i="14" s="1"/>
  <c r="AK114" i="14" s="1"/>
  <c r="AK172" i="14" s="1"/>
  <c r="AK202" i="14" s="1"/>
  <c r="T21" i="17" s="1"/>
  <c r="BG15" i="12"/>
  <c r="AJ16" i="14" s="1"/>
  <c r="AJ39" i="14" s="1"/>
  <c r="AJ114" i="14" s="1"/>
  <c r="AJ172" i="14" s="1"/>
  <c r="AJ202" i="14" s="1"/>
  <c r="S21" i="17" s="1"/>
  <c r="BF15" i="12"/>
  <c r="AI16" i="14" s="1"/>
  <c r="AI39" i="14" s="1"/>
  <c r="AI114" i="14" s="1"/>
  <c r="AI172" i="14" s="1"/>
  <c r="AI202" i="14" s="1"/>
  <c r="R21" i="17" s="1"/>
  <c r="BE15" i="12"/>
  <c r="AH16" i="14" s="1"/>
  <c r="AH39" i="14" s="1"/>
  <c r="AH114" i="14" s="1"/>
  <c r="AH172" i="14" s="1"/>
  <c r="AH202" i="14" s="1"/>
  <c r="Q21" i="17" s="1"/>
  <c r="BD15" i="12"/>
  <c r="AG16" i="14" s="1"/>
  <c r="AG39" i="14" s="1"/>
  <c r="AG114" i="14" s="1"/>
  <c r="AG172" i="14" s="1"/>
  <c r="AG202" i="14" s="1"/>
  <c r="P21" i="17" s="1"/>
  <c r="BC15" i="12"/>
  <c r="AF16" i="14" s="1"/>
  <c r="AF39" i="14" s="1"/>
  <c r="AF114" i="14" s="1"/>
  <c r="AF172" i="14" s="1"/>
  <c r="AF202" i="14" s="1"/>
  <c r="O21" i="17" s="1"/>
  <c r="BB15" i="12"/>
  <c r="AE16" i="14" s="1"/>
  <c r="AE39" i="14" s="1"/>
  <c r="AE114" i="14" s="1"/>
  <c r="AE172" i="14" s="1"/>
  <c r="AE202" i="14" s="1"/>
  <c r="N21" i="17" s="1"/>
  <c r="BA15" i="12"/>
  <c r="AD16" i="14" s="1"/>
  <c r="AD39" i="14" s="1"/>
  <c r="AD172" i="14" s="1"/>
  <c r="AZ15" i="12"/>
  <c r="AC16" i="14" s="1"/>
  <c r="AC39" i="14" s="1"/>
  <c r="AC172" i="14" s="1"/>
  <c r="AY15" i="12"/>
  <c r="AB16" i="14" s="1"/>
  <c r="AB39" i="14" s="1"/>
  <c r="AB172" i="14" s="1"/>
  <c r="AX15" i="12"/>
  <c r="AA16" i="14" s="1"/>
  <c r="AA39" i="14" s="1"/>
  <c r="AA172" i="14" s="1"/>
  <c r="AW15" i="12"/>
  <c r="Z16" i="14" s="1"/>
  <c r="Z39" i="14" s="1"/>
  <c r="Z172" i="14" s="1"/>
  <c r="AV15" i="12"/>
  <c r="Y16" i="14" s="1"/>
  <c r="Y39" i="14" s="1"/>
  <c r="Y172" i="14" s="1"/>
  <c r="AU15" i="12"/>
  <c r="X16" i="14" s="1"/>
  <c r="X39" i="14" s="1"/>
  <c r="X172" i="14" s="1"/>
  <c r="AT15" i="12"/>
  <c r="AS15" i="12"/>
  <c r="AR15" i="12"/>
  <c r="AQ15" i="12"/>
  <c r="AP15" i="12"/>
  <c r="AO15" i="12"/>
  <c r="AN15" i="12"/>
  <c r="AM15" i="12"/>
  <c r="AL15" i="12"/>
  <c r="AK15" i="12"/>
  <c r="AJ15" i="12"/>
  <c r="AI15" i="12"/>
  <c r="BJ14" i="12"/>
  <c r="AM15" i="14" s="1"/>
  <c r="AM38" i="14" s="1"/>
  <c r="BI14" i="12"/>
  <c r="AL15" i="14" s="1"/>
  <c r="AL38" i="14" s="1"/>
  <c r="BH14" i="12"/>
  <c r="AK15" i="14" s="1"/>
  <c r="AK38" i="14" s="1"/>
  <c r="BG14" i="12"/>
  <c r="AJ15" i="14" s="1"/>
  <c r="AJ38" i="14" s="1"/>
  <c r="BF14" i="12"/>
  <c r="AI15" i="14" s="1"/>
  <c r="AI38" i="14" s="1"/>
  <c r="BE14" i="12"/>
  <c r="AH15" i="14" s="1"/>
  <c r="AH38" i="14" s="1"/>
  <c r="BD14" i="12"/>
  <c r="AG15" i="14" s="1"/>
  <c r="AG38" i="14" s="1"/>
  <c r="BC14" i="12"/>
  <c r="AF15" i="14" s="1"/>
  <c r="AF38" i="14" s="1"/>
  <c r="BB14" i="12"/>
  <c r="AE15" i="14" s="1"/>
  <c r="AE38" i="14" s="1"/>
  <c r="BA14" i="12"/>
  <c r="AD15" i="14" s="1"/>
  <c r="AD38" i="14" s="1"/>
  <c r="AD171" i="14" s="1"/>
  <c r="AZ14" i="12"/>
  <c r="AC15" i="14" s="1"/>
  <c r="AC38" i="14" s="1"/>
  <c r="AC171" i="14" s="1"/>
  <c r="AY14" i="12"/>
  <c r="AB15" i="14" s="1"/>
  <c r="AB38" i="14" s="1"/>
  <c r="AB171" i="14" s="1"/>
  <c r="AX14" i="12"/>
  <c r="AA15" i="14" s="1"/>
  <c r="AA38" i="14" s="1"/>
  <c r="AA171" i="14" s="1"/>
  <c r="AW14" i="12"/>
  <c r="Z15" i="14" s="1"/>
  <c r="Z38" i="14" s="1"/>
  <c r="Z171" i="14" s="1"/>
  <c r="AV14" i="12"/>
  <c r="Y15" i="14" s="1"/>
  <c r="Y38" i="14" s="1"/>
  <c r="Y171" i="14" s="1"/>
  <c r="AU14" i="12"/>
  <c r="X15" i="14" s="1"/>
  <c r="X38" i="14" s="1"/>
  <c r="X171" i="14" s="1"/>
  <c r="AT14" i="12"/>
  <c r="AS14" i="12"/>
  <c r="AR14" i="12"/>
  <c r="AQ14" i="12"/>
  <c r="AP14" i="12"/>
  <c r="AO14" i="12"/>
  <c r="AN14" i="12"/>
  <c r="AM14" i="12"/>
  <c r="AL14" i="12"/>
  <c r="AK14" i="12"/>
  <c r="AJ14" i="12"/>
  <c r="AI14" i="12"/>
  <c r="BJ13" i="12"/>
  <c r="AM14" i="14" s="1"/>
  <c r="AM37" i="14" s="1"/>
  <c r="BI13" i="12"/>
  <c r="AL14" i="14" s="1"/>
  <c r="AL37" i="14" s="1"/>
  <c r="AL120" i="14" s="1"/>
  <c r="BH13" i="12"/>
  <c r="AK14" i="14" s="1"/>
  <c r="AK37" i="14" s="1"/>
  <c r="AK120" i="14" s="1"/>
  <c r="BG13" i="12"/>
  <c r="AJ14" i="14" s="1"/>
  <c r="AJ37" i="14" s="1"/>
  <c r="AJ120" i="14" s="1"/>
  <c r="BF13" i="12"/>
  <c r="AI14" i="14" s="1"/>
  <c r="AI37" i="14" s="1"/>
  <c r="AI120" i="14" s="1"/>
  <c r="BE13" i="12"/>
  <c r="AH14" i="14" s="1"/>
  <c r="AH37" i="14" s="1"/>
  <c r="AH120" i="14" s="1"/>
  <c r="BD13" i="12"/>
  <c r="AG14" i="14" s="1"/>
  <c r="AG37" i="14" s="1"/>
  <c r="AG120" i="14" s="1"/>
  <c r="BC13" i="12"/>
  <c r="AF14" i="14" s="1"/>
  <c r="AF37" i="14" s="1"/>
  <c r="AF120" i="14" s="1"/>
  <c r="BB13" i="12"/>
  <c r="AE14" i="14" s="1"/>
  <c r="AE37" i="14" s="1"/>
  <c r="AE120" i="14" s="1"/>
  <c r="BA13" i="12"/>
  <c r="AD14" i="14" s="1"/>
  <c r="AD37" i="14" s="1"/>
  <c r="AD170" i="14" s="1"/>
  <c r="AZ13" i="12"/>
  <c r="AC14" i="14" s="1"/>
  <c r="AC37" i="14" s="1"/>
  <c r="AC170" i="14" s="1"/>
  <c r="AY13" i="12"/>
  <c r="AB14" i="14" s="1"/>
  <c r="AB37" i="14" s="1"/>
  <c r="AB170" i="14" s="1"/>
  <c r="AX13" i="12"/>
  <c r="AA14" i="14" s="1"/>
  <c r="AA37" i="14" s="1"/>
  <c r="AA170" i="14" s="1"/>
  <c r="AW13" i="12"/>
  <c r="Z14" i="14" s="1"/>
  <c r="Z37" i="14" s="1"/>
  <c r="Z170" i="14" s="1"/>
  <c r="AV13" i="12"/>
  <c r="Y14" i="14" s="1"/>
  <c r="Y37" i="14" s="1"/>
  <c r="Y170" i="14" s="1"/>
  <c r="AU13" i="12"/>
  <c r="X14" i="14" s="1"/>
  <c r="X37" i="14" s="1"/>
  <c r="X170" i="14" s="1"/>
  <c r="AT13" i="12"/>
  <c r="AS13" i="12"/>
  <c r="AR13" i="12"/>
  <c r="AQ13" i="12"/>
  <c r="AP13" i="12"/>
  <c r="AO13" i="12"/>
  <c r="AN13" i="12"/>
  <c r="AM13" i="12"/>
  <c r="AL13" i="12"/>
  <c r="AK13" i="12"/>
  <c r="AJ13" i="12"/>
  <c r="AI13" i="12"/>
  <c r="BJ12" i="12"/>
  <c r="AM13" i="14" s="1"/>
  <c r="AM36" i="14" s="1"/>
  <c r="AM169" i="14" s="1"/>
  <c r="AM199" i="14" s="1"/>
  <c r="V18" i="17" s="1"/>
  <c r="BI12" i="12"/>
  <c r="AL13" i="14" s="1"/>
  <c r="AL36" i="14" s="1"/>
  <c r="AL169" i="14" s="1"/>
  <c r="AL199" i="14" s="1"/>
  <c r="U18" i="17" s="1"/>
  <c r="BH12" i="12"/>
  <c r="AK13" i="14" s="1"/>
  <c r="AK36" i="14" s="1"/>
  <c r="AK169" i="14" s="1"/>
  <c r="AK199" i="14" s="1"/>
  <c r="T18" i="17" s="1"/>
  <c r="BG12" i="12"/>
  <c r="AJ13" i="14" s="1"/>
  <c r="AJ36" i="14" s="1"/>
  <c r="AJ169" i="14" s="1"/>
  <c r="AJ199" i="14" s="1"/>
  <c r="S18" i="17" s="1"/>
  <c r="BF12" i="12"/>
  <c r="AI13" i="14" s="1"/>
  <c r="AI36" i="14" s="1"/>
  <c r="AI169" i="14" s="1"/>
  <c r="AI199" i="14" s="1"/>
  <c r="R18" i="17" s="1"/>
  <c r="BE12" i="12"/>
  <c r="AH13" i="14" s="1"/>
  <c r="AH36" i="14" s="1"/>
  <c r="AH169" i="14" s="1"/>
  <c r="AH199" i="14" s="1"/>
  <c r="Q18" i="17" s="1"/>
  <c r="BD12" i="12"/>
  <c r="AG13" i="14" s="1"/>
  <c r="AG36" i="14" s="1"/>
  <c r="AG169" i="14" s="1"/>
  <c r="AG199" i="14" s="1"/>
  <c r="P18" i="17" s="1"/>
  <c r="BC12" i="12"/>
  <c r="AF13" i="14" s="1"/>
  <c r="AF36" i="14" s="1"/>
  <c r="AF169" i="14" s="1"/>
  <c r="AF199" i="14" s="1"/>
  <c r="O18" i="17" s="1"/>
  <c r="BB12" i="12"/>
  <c r="AE13" i="14" s="1"/>
  <c r="AE36" i="14" s="1"/>
  <c r="AE169" i="14" s="1"/>
  <c r="BA12" i="12"/>
  <c r="AD13" i="14" s="1"/>
  <c r="AD36" i="14" s="1"/>
  <c r="AD169" i="14" s="1"/>
  <c r="AD199" i="14" s="1"/>
  <c r="M18" i="17" s="1"/>
  <c r="AZ12" i="12"/>
  <c r="AC13" i="14" s="1"/>
  <c r="AC36" i="14" s="1"/>
  <c r="AC169" i="14" s="1"/>
  <c r="AC199" i="14" s="1"/>
  <c r="L18" i="17" s="1"/>
  <c r="AY12" i="12"/>
  <c r="AB13" i="14" s="1"/>
  <c r="AB36" i="14" s="1"/>
  <c r="AB169" i="14" s="1"/>
  <c r="AB199" i="14" s="1"/>
  <c r="K18" i="17" s="1"/>
  <c r="AX12" i="12"/>
  <c r="AA13" i="14" s="1"/>
  <c r="AA36" i="14" s="1"/>
  <c r="AA169" i="14" s="1"/>
  <c r="AA199" i="14" s="1"/>
  <c r="J18" i="17" s="1"/>
  <c r="AW12" i="12"/>
  <c r="Z13" i="14" s="1"/>
  <c r="Z36" i="14" s="1"/>
  <c r="Z169" i="14" s="1"/>
  <c r="Z199" i="14" s="1"/>
  <c r="I18" i="17" s="1"/>
  <c r="AV12" i="12"/>
  <c r="Y13" i="14" s="1"/>
  <c r="Y36" i="14" s="1"/>
  <c r="Y169" i="14" s="1"/>
  <c r="Y199" i="14" s="1"/>
  <c r="H18" i="17" s="1"/>
  <c r="AU12" i="12"/>
  <c r="X13" i="14" s="1"/>
  <c r="X36" i="14" s="1"/>
  <c r="X169" i="14" s="1"/>
  <c r="X199" i="14" s="1"/>
  <c r="G18" i="17" s="1"/>
  <c r="AT12" i="12"/>
  <c r="AS12" i="12"/>
  <c r="AR12" i="12"/>
  <c r="AQ12" i="12"/>
  <c r="AP12" i="12"/>
  <c r="AO12" i="12"/>
  <c r="AN12" i="12"/>
  <c r="AM12" i="12"/>
  <c r="AL12" i="12"/>
  <c r="AK12" i="12"/>
  <c r="AJ12" i="12"/>
  <c r="AI12" i="12"/>
  <c r="BJ11" i="12"/>
  <c r="AM12" i="14" s="1"/>
  <c r="AM35" i="14" s="1"/>
  <c r="AM168" i="14" s="1"/>
  <c r="AM198" i="14" s="1"/>
  <c r="V17" i="17" s="1"/>
  <c r="BI11" i="12"/>
  <c r="AL12" i="14" s="1"/>
  <c r="AL35" i="14" s="1"/>
  <c r="AL168" i="14" s="1"/>
  <c r="AL198" i="14" s="1"/>
  <c r="U17" i="17" s="1"/>
  <c r="BH11" i="12"/>
  <c r="AK12" i="14" s="1"/>
  <c r="AK35" i="14" s="1"/>
  <c r="AK168" i="14" s="1"/>
  <c r="AK198" i="14" s="1"/>
  <c r="T17" i="17" s="1"/>
  <c r="BG11" i="12"/>
  <c r="AJ12" i="14" s="1"/>
  <c r="AJ35" i="14" s="1"/>
  <c r="AJ168" i="14" s="1"/>
  <c r="AJ198" i="14" s="1"/>
  <c r="S17" i="17" s="1"/>
  <c r="BF11" i="12"/>
  <c r="AI12" i="14" s="1"/>
  <c r="AI35" i="14" s="1"/>
  <c r="AI168" i="14" s="1"/>
  <c r="AI198" i="14" s="1"/>
  <c r="R17" i="17" s="1"/>
  <c r="BE11" i="12"/>
  <c r="AH12" i="14" s="1"/>
  <c r="AH35" i="14" s="1"/>
  <c r="AH168" i="14" s="1"/>
  <c r="AH198" i="14" s="1"/>
  <c r="Q17" i="17" s="1"/>
  <c r="BD11" i="12"/>
  <c r="AG12" i="14" s="1"/>
  <c r="AG35" i="14" s="1"/>
  <c r="AG168" i="14" s="1"/>
  <c r="AG198" i="14" s="1"/>
  <c r="P17" i="17" s="1"/>
  <c r="BC11" i="12"/>
  <c r="AF12" i="14" s="1"/>
  <c r="AF35" i="14" s="1"/>
  <c r="AF168" i="14" s="1"/>
  <c r="AF198" i="14" s="1"/>
  <c r="O17" i="17" s="1"/>
  <c r="BB11" i="12"/>
  <c r="AE12" i="14" s="1"/>
  <c r="AE35" i="14" s="1"/>
  <c r="AE168" i="14" s="1"/>
  <c r="BA11" i="12"/>
  <c r="AD12" i="14" s="1"/>
  <c r="AD35" i="14" s="1"/>
  <c r="AD168" i="14" s="1"/>
  <c r="AD198" i="14" s="1"/>
  <c r="M17" i="17" s="1"/>
  <c r="AZ11" i="12"/>
  <c r="AC12" i="14" s="1"/>
  <c r="AC35" i="14" s="1"/>
  <c r="AC168" i="14" s="1"/>
  <c r="AC198" i="14" s="1"/>
  <c r="L17" i="17" s="1"/>
  <c r="AY11" i="12"/>
  <c r="AB12" i="14" s="1"/>
  <c r="AB35" i="14" s="1"/>
  <c r="AB168" i="14" s="1"/>
  <c r="AB198" i="14" s="1"/>
  <c r="K17" i="17" s="1"/>
  <c r="AX11" i="12"/>
  <c r="AA12" i="14" s="1"/>
  <c r="AA35" i="14" s="1"/>
  <c r="AA168" i="14" s="1"/>
  <c r="AA198" i="14" s="1"/>
  <c r="J17" i="17" s="1"/>
  <c r="AW11" i="12"/>
  <c r="Z12" i="14" s="1"/>
  <c r="Z35" i="14" s="1"/>
  <c r="Z168" i="14" s="1"/>
  <c r="Z198" i="14" s="1"/>
  <c r="I17" i="17" s="1"/>
  <c r="AV11" i="12"/>
  <c r="Y12" i="14" s="1"/>
  <c r="Y35" i="14" s="1"/>
  <c r="Y168" i="14" s="1"/>
  <c r="Y198" i="14" s="1"/>
  <c r="H17" i="17" s="1"/>
  <c r="AU11" i="12"/>
  <c r="X12" i="14" s="1"/>
  <c r="X35" i="14" s="1"/>
  <c r="X168" i="14" s="1"/>
  <c r="X198" i="14" s="1"/>
  <c r="G17" i="17" s="1"/>
  <c r="AT11" i="12"/>
  <c r="AS11" i="12"/>
  <c r="AR11" i="12"/>
  <c r="AQ11" i="12"/>
  <c r="AP11" i="12"/>
  <c r="AO11" i="12"/>
  <c r="AN11" i="12"/>
  <c r="AM11" i="12"/>
  <c r="AL11" i="12"/>
  <c r="AK11" i="12"/>
  <c r="AJ11" i="12"/>
  <c r="AI11" i="12"/>
  <c r="BJ10" i="12"/>
  <c r="AM11" i="14" s="1"/>
  <c r="AM34" i="14" s="1"/>
  <c r="AM167" i="14" s="1"/>
  <c r="AM197" i="14" s="1"/>
  <c r="V16" i="17" s="1"/>
  <c r="BI10" i="12"/>
  <c r="AL11" i="14" s="1"/>
  <c r="AL34" i="14" s="1"/>
  <c r="AL167" i="14" s="1"/>
  <c r="AL197" i="14" s="1"/>
  <c r="U16" i="17" s="1"/>
  <c r="BH10" i="12"/>
  <c r="AK11" i="14" s="1"/>
  <c r="AK34" i="14" s="1"/>
  <c r="AK167" i="14" s="1"/>
  <c r="AK197" i="14" s="1"/>
  <c r="T16" i="17" s="1"/>
  <c r="BG10" i="12"/>
  <c r="AJ11" i="14" s="1"/>
  <c r="AJ34" i="14" s="1"/>
  <c r="AJ167" i="14" s="1"/>
  <c r="AJ197" i="14" s="1"/>
  <c r="S16" i="17" s="1"/>
  <c r="BF10" i="12"/>
  <c r="AI11" i="14" s="1"/>
  <c r="AI34" i="14" s="1"/>
  <c r="AI167" i="14" s="1"/>
  <c r="AI197" i="14" s="1"/>
  <c r="R16" i="17" s="1"/>
  <c r="BE10" i="12"/>
  <c r="AH11" i="14" s="1"/>
  <c r="AH34" i="14" s="1"/>
  <c r="AH167" i="14" s="1"/>
  <c r="AH197" i="14" s="1"/>
  <c r="Q16" i="17" s="1"/>
  <c r="BD10" i="12"/>
  <c r="AG11" i="14" s="1"/>
  <c r="AG34" i="14" s="1"/>
  <c r="AG167" i="14" s="1"/>
  <c r="AG197" i="14" s="1"/>
  <c r="P16" i="17" s="1"/>
  <c r="BC10" i="12"/>
  <c r="AF11" i="14" s="1"/>
  <c r="AF34" i="14" s="1"/>
  <c r="AF167" i="14" s="1"/>
  <c r="AF197" i="14" s="1"/>
  <c r="O16" i="17" s="1"/>
  <c r="BB10" i="12"/>
  <c r="AE11" i="14" s="1"/>
  <c r="AE34" i="14" s="1"/>
  <c r="AE167" i="14" s="1"/>
  <c r="BA10" i="12"/>
  <c r="AD11" i="14" s="1"/>
  <c r="AD34" i="14" s="1"/>
  <c r="AD167" i="14" s="1"/>
  <c r="AD197" i="14" s="1"/>
  <c r="M16" i="17" s="1"/>
  <c r="AZ10" i="12"/>
  <c r="AC11" i="14" s="1"/>
  <c r="AC34" i="14" s="1"/>
  <c r="AC167" i="14" s="1"/>
  <c r="AC197" i="14" s="1"/>
  <c r="L16" i="17" s="1"/>
  <c r="AY10" i="12"/>
  <c r="AB11" i="14" s="1"/>
  <c r="AB34" i="14" s="1"/>
  <c r="AB167" i="14" s="1"/>
  <c r="AB197" i="14" s="1"/>
  <c r="K16" i="17" s="1"/>
  <c r="AX10" i="12"/>
  <c r="AA11" i="14" s="1"/>
  <c r="AA34" i="14" s="1"/>
  <c r="AA167" i="14" s="1"/>
  <c r="AA197" i="14" s="1"/>
  <c r="J16" i="17" s="1"/>
  <c r="AW10" i="12"/>
  <c r="Z11" i="14" s="1"/>
  <c r="Z34" i="14" s="1"/>
  <c r="Z167" i="14" s="1"/>
  <c r="Z197" i="14" s="1"/>
  <c r="I16" i="17" s="1"/>
  <c r="AV10" i="12"/>
  <c r="Y11" i="14" s="1"/>
  <c r="Y34" i="14" s="1"/>
  <c r="Y167" i="14" s="1"/>
  <c r="Y197" i="14" s="1"/>
  <c r="H16" i="17" s="1"/>
  <c r="AU10" i="12"/>
  <c r="X11" i="14" s="1"/>
  <c r="X34" i="14" s="1"/>
  <c r="X167" i="14" s="1"/>
  <c r="X197" i="14" s="1"/>
  <c r="G16" i="17" s="1"/>
  <c r="AT10" i="12"/>
  <c r="AS10" i="12"/>
  <c r="AR10" i="12"/>
  <c r="AQ10" i="12"/>
  <c r="AP10" i="12"/>
  <c r="AO10" i="12"/>
  <c r="AN10" i="12"/>
  <c r="AM10" i="12"/>
  <c r="AL10" i="12"/>
  <c r="AK10" i="12"/>
  <c r="AJ10" i="12"/>
  <c r="AI10" i="12"/>
  <c r="BJ9" i="12"/>
  <c r="AM10" i="14" s="1"/>
  <c r="AM33" i="14" s="1"/>
  <c r="AM166" i="14" s="1"/>
  <c r="AM196" i="14" s="1"/>
  <c r="V15" i="17" s="1"/>
  <c r="BI9" i="12"/>
  <c r="AL10" i="14" s="1"/>
  <c r="AL33" i="14" s="1"/>
  <c r="AL166" i="14" s="1"/>
  <c r="AL196" i="14" s="1"/>
  <c r="U15" i="17" s="1"/>
  <c r="BH9" i="12"/>
  <c r="AK10" i="14" s="1"/>
  <c r="AK33" i="14" s="1"/>
  <c r="AK166" i="14" s="1"/>
  <c r="AK196" i="14" s="1"/>
  <c r="T15" i="17" s="1"/>
  <c r="BG9" i="12"/>
  <c r="AJ10" i="14" s="1"/>
  <c r="AJ33" i="14" s="1"/>
  <c r="AJ166" i="14" s="1"/>
  <c r="AJ196" i="14" s="1"/>
  <c r="S15" i="17" s="1"/>
  <c r="BF9" i="12"/>
  <c r="AI10" i="14" s="1"/>
  <c r="AI33" i="14" s="1"/>
  <c r="AI166" i="14" s="1"/>
  <c r="AI196" i="14" s="1"/>
  <c r="R15" i="17" s="1"/>
  <c r="BE9" i="12"/>
  <c r="AH10" i="14" s="1"/>
  <c r="AH33" i="14" s="1"/>
  <c r="AH166" i="14" s="1"/>
  <c r="AH196" i="14" s="1"/>
  <c r="Q15" i="17" s="1"/>
  <c r="BD9" i="12"/>
  <c r="AG10" i="14" s="1"/>
  <c r="AG33" i="14" s="1"/>
  <c r="AG166" i="14" s="1"/>
  <c r="AG196" i="14" s="1"/>
  <c r="P15" i="17" s="1"/>
  <c r="BC9" i="12"/>
  <c r="AF10" i="14" s="1"/>
  <c r="AF33" i="14" s="1"/>
  <c r="AF166" i="14" s="1"/>
  <c r="AF196" i="14" s="1"/>
  <c r="O15" i="17" s="1"/>
  <c r="BB9" i="12"/>
  <c r="AE10" i="14" s="1"/>
  <c r="AE33" i="14" s="1"/>
  <c r="AE166" i="14" s="1"/>
  <c r="BA9" i="12"/>
  <c r="AD10" i="14" s="1"/>
  <c r="AD33" i="14" s="1"/>
  <c r="AD166" i="14" s="1"/>
  <c r="AD196" i="14" s="1"/>
  <c r="M15" i="17" s="1"/>
  <c r="AZ9" i="12"/>
  <c r="AC10" i="14" s="1"/>
  <c r="AC33" i="14" s="1"/>
  <c r="AC166" i="14" s="1"/>
  <c r="AC196" i="14" s="1"/>
  <c r="L15" i="17" s="1"/>
  <c r="AY9" i="12"/>
  <c r="AB10" i="14" s="1"/>
  <c r="AB33" i="14" s="1"/>
  <c r="AB166" i="14" s="1"/>
  <c r="AB196" i="14" s="1"/>
  <c r="K15" i="17" s="1"/>
  <c r="AX9" i="12"/>
  <c r="AA10" i="14" s="1"/>
  <c r="AA33" i="14" s="1"/>
  <c r="AA166" i="14" s="1"/>
  <c r="AA196" i="14" s="1"/>
  <c r="J15" i="17" s="1"/>
  <c r="AW9" i="12"/>
  <c r="Z10" i="14" s="1"/>
  <c r="Z33" i="14" s="1"/>
  <c r="Z166" i="14" s="1"/>
  <c r="Z196" i="14" s="1"/>
  <c r="I15" i="17" s="1"/>
  <c r="AV9" i="12"/>
  <c r="Y10" i="14" s="1"/>
  <c r="Y33" i="14" s="1"/>
  <c r="Y166" i="14" s="1"/>
  <c r="Y196" i="14" s="1"/>
  <c r="H15" i="17" s="1"/>
  <c r="AU9" i="12"/>
  <c r="X10" i="14" s="1"/>
  <c r="X33" i="14" s="1"/>
  <c r="X166" i="14" s="1"/>
  <c r="X196" i="14" s="1"/>
  <c r="G15" i="17" s="1"/>
  <c r="AT9" i="12"/>
  <c r="AS9" i="12"/>
  <c r="AR9" i="12"/>
  <c r="AQ9" i="12"/>
  <c r="AP9" i="12"/>
  <c r="AO9" i="12"/>
  <c r="AN9" i="12"/>
  <c r="AM9" i="12"/>
  <c r="AL9" i="12"/>
  <c r="AK9" i="12"/>
  <c r="AJ9" i="12"/>
  <c r="AI9" i="12"/>
  <c r="BJ8" i="12"/>
  <c r="AM9" i="14" s="1"/>
  <c r="AM32" i="14" s="1"/>
  <c r="AM165" i="14" s="1"/>
  <c r="AM195" i="14" s="1"/>
  <c r="V14" i="17" s="1"/>
  <c r="BI8" i="12"/>
  <c r="AL9" i="14" s="1"/>
  <c r="AL32" i="14" s="1"/>
  <c r="AL165" i="14" s="1"/>
  <c r="AL195" i="14" s="1"/>
  <c r="U14" i="17" s="1"/>
  <c r="BH8" i="12"/>
  <c r="AK9" i="14" s="1"/>
  <c r="AK32" i="14" s="1"/>
  <c r="AK165" i="14" s="1"/>
  <c r="AK195" i="14" s="1"/>
  <c r="T14" i="17" s="1"/>
  <c r="BG8" i="12"/>
  <c r="AJ9" i="14" s="1"/>
  <c r="AJ32" i="14" s="1"/>
  <c r="AJ165" i="14" s="1"/>
  <c r="AJ195" i="14" s="1"/>
  <c r="S14" i="17" s="1"/>
  <c r="BF8" i="12"/>
  <c r="AI9" i="14" s="1"/>
  <c r="AI32" i="14" s="1"/>
  <c r="AI165" i="14" s="1"/>
  <c r="AI195" i="14" s="1"/>
  <c r="R14" i="17" s="1"/>
  <c r="BE8" i="12"/>
  <c r="AH9" i="14" s="1"/>
  <c r="AH32" i="14" s="1"/>
  <c r="AH165" i="14" s="1"/>
  <c r="AH195" i="14" s="1"/>
  <c r="Q14" i="17" s="1"/>
  <c r="BD8" i="12"/>
  <c r="AG9" i="14" s="1"/>
  <c r="AG32" i="14" s="1"/>
  <c r="AG165" i="14" s="1"/>
  <c r="AG195" i="14" s="1"/>
  <c r="P14" i="17" s="1"/>
  <c r="BC8" i="12"/>
  <c r="AF9" i="14" s="1"/>
  <c r="AF32" i="14" s="1"/>
  <c r="AF165" i="14" s="1"/>
  <c r="AF195" i="14" s="1"/>
  <c r="O14" i="17" s="1"/>
  <c r="BB8" i="12"/>
  <c r="AE9" i="14" s="1"/>
  <c r="AE32" i="14" s="1"/>
  <c r="AE165" i="14" s="1"/>
  <c r="BA8" i="12"/>
  <c r="AD9" i="14" s="1"/>
  <c r="AD32" i="14" s="1"/>
  <c r="AD165" i="14" s="1"/>
  <c r="AD195" i="14" s="1"/>
  <c r="M14" i="17" s="1"/>
  <c r="AZ8" i="12"/>
  <c r="AC9" i="14" s="1"/>
  <c r="AC32" i="14" s="1"/>
  <c r="AC165" i="14" s="1"/>
  <c r="AC195" i="14" s="1"/>
  <c r="L14" i="17" s="1"/>
  <c r="AY8" i="12"/>
  <c r="AB9" i="14" s="1"/>
  <c r="AB32" i="14" s="1"/>
  <c r="AB165" i="14" s="1"/>
  <c r="AB195" i="14" s="1"/>
  <c r="K14" i="17" s="1"/>
  <c r="AX8" i="12"/>
  <c r="AA9" i="14" s="1"/>
  <c r="AA32" i="14" s="1"/>
  <c r="AA165" i="14" s="1"/>
  <c r="AA195" i="14" s="1"/>
  <c r="J14" i="17" s="1"/>
  <c r="AW8" i="12"/>
  <c r="Z9" i="14" s="1"/>
  <c r="Z32" i="14" s="1"/>
  <c r="Z165" i="14" s="1"/>
  <c r="Z195" i="14" s="1"/>
  <c r="I14" i="17" s="1"/>
  <c r="AV8" i="12"/>
  <c r="Y9" i="14" s="1"/>
  <c r="Y32" i="14" s="1"/>
  <c r="Y165" i="14" s="1"/>
  <c r="Y195" i="14" s="1"/>
  <c r="H14" i="17" s="1"/>
  <c r="AU8" i="12"/>
  <c r="X9" i="14" s="1"/>
  <c r="X32" i="14" s="1"/>
  <c r="X165" i="14" s="1"/>
  <c r="X195" i="14" s="1"/>
  <c r="G14" i="17" s="1"/>
  <c r="AT8" i="12"/>
  <c r="AS8" i="12"/>
  <c r="AR8" i="12"/>
  <c r="AQ8" i="12"/>
  <c r="AP8" i="12"/>
  <c r="AO8" i="12"/>
  <c r="AN8" i="12"/>
  <c r="AM8" i="12"/>
  <c r="AL8" i="12"/>
  <c r="AK8" i="12"/>
  <c r="AJ8" i="12"/>
  <c r="AI8" i="12"/>
  <c r="BJ7" i="12"/>
  <c r="AM8" i="14" s="1"/>
  <c r="BI7" i="12"/>
  <c r="AL8" i="14" s="1"/>
  <c r="BH7" i="12"/>
  <c r="AK8" i="14" s="1"/>
  <c r="BG7" i="12"/>
  <c r="AJ8" i="14" s="1"/>
  <c r="BF7" i="12"/>
  <c r="AI8" i="14" s="1"/>
  <c r="BE7" i="12"/>
  <c r="AH8" i="14" s="1"/>
  <c r="BD7" i="12"/>
  <c r="AG8" i="14" s="1"/>
  <c r="BC7" i="12"/>
  <c r="AF8" i="14" s="1"/>
  <c r="BB7" i="12"/>
  <c r="AE8" i="14" s="1"/>
  <c r="BA7" i="12"/>
  <c r="AD8" i="14" s="1"/>
  <c r="AZ7" i="12"/>
  <c r="AC8" i="14" s="1"/>
  <c r="AY7" i="12"/>
  <c r="AB8" i="14" s="1"/>
  <c r="AX7" i="12"/>
  <c r="AA8" i="14" s="1"/>
  <c r="AW7" i="12"/>
  <c r="Z8" i="14" s="1"/>
  <c r="AV7" i="12"/>
  <c r="Y8" i="14" s="1"/>
  <c r="AU7" i="12"/>
  <c r="X8" i="14" s="1"/>
  <c r="AT7" i="12"/>
  <c r="AS7" i="12"/>
  <c r="AR7" i="12"/>
  <c r="AQ7" i="12"/>
  <c r="AP7" i="12"/>
  <c r="AO7" i="12"/>
  <c r="AN7" i="12"/>
  <c r="AM7" i="12"/>
  <c r="AL7" i="12"/>
  <c r="AK7" i="12"/>
  <c r="AJ7" i="12"/>
  <c r="AI7" i="12"/>
  <c r="BJ6" i="12"/>
  <c r="AM7" i="14" s="1"/>
  <c r="AM30" i="14" s="1"/>
  <c r="AM163" i="14" s="1"/>
  <c r="AM193" i="14" s="1"/>
  <c r="V12" i="17" s="1"/>
  <c r="BI6" i="12"/>
  <c r="AL7" i="14" s="1"/>
  <c r="AL30" i="14" s="1"/>
  <c r="AL163" i="14" s="1"/>
  <c r="AL193" i="14" s="1"/>
  <c r="U12" i="17" s="1"/>
  <c r="BH6" i="12"/>
  <c r="AK7" i="14" s="1"/>
  <c r="AK30" i="14" s="1"/>
  <c r="AK163" i="14" s="1"/>
  <c r="AK193" i="14" s="1"/>
  <c r="T12" i="17" s="1"/>
  <c r="BG6" i="12"/>
  <c r="AJ7" i="14" s="1"/>
  <c r="AJ30" i="14" s="1"/>
  <c r="AJ163" i="14" s="1"/>
  <c r="AJ193" i="14" s="1"/>
  <c r="S12" i="17" s="1"/>
  <c r="BF6" i="12"/>
  <c r="AI7" i="14" s="1"/>
  <c r="AI30" i="14" s="1"/>
  <c r="AI163" i="14" s="1"/>
  <c r="AI193" i="14" s="1"/>
  <c r="R12" i="17" s="1"/>
  <c r="BE6" i="12"/>
  <c r="AH7" i="14" s="1"/>
  <c r="AH30" i="14" s="1"/>
  <c r="AH163" i="14" s="1"/>
  <c r="AH193" i="14" s="1"/>
  <c r="Q12" i="17" s="1"/>
  <c r="BD6" i="12"/>
  <c r="AG7" i="14" s="1"/>
  <c r="AG30" i="14" s="1"/>
  <c r="AG163" i="14" s="1"/>
  <c r="AG193" i="14" s="1"/>
  <c r="P12" i="17" s="1"/>
  <c r="BC6" i="12"/>
  <c r="AF7" i="14" s="1"/>
  <c r="AF30" i="14" s="1"/>
  <c r="AF163" i="14" s="1"/>
  <c r="AF193" i="14" s="1"/>
  <c r="O12" i="17" s="1"/>
  <c r="BB6" i="12"/>
  <c r="AE7" i="14" s="1"/>
  <c r="AE30" i="14" s="1"/>
  <c r="AE163" i="14" s="1"/>
  <c r="BA6" i="12"/>
  <c r="AD7" i="14" s="1"/>
  <c r="AD30" i="14" s="1"/>
  <c r="AZ6" i="12"/>
  <c r="AC7" i="14" s="1"/>
  <c r="AC30" i="14" s="1"/>
  <c r="AY6" i="12"/>
  <c r="AB7" i="14" s="1"/>
  <c r="AB30" i="14" s="1"/>
  <c r="AX6" i="12"/>
  <c r="AA7" i="14" s="1"/>
  <c r="AA30" i="14" s="1"/>
  <c r="AW6" i="12"/>
  <c r="Z7" i="14" s="1"/>
  <c r="Z30" i="14" s="1"/>
  <c r="AV6" i="12"/>
  <c r="Y7" i="14" s="1"/>
  <c r="Y30" i="14" s="1"/>
  <c r="AU6" i="12"/>
  <c r="X7" i="14" s="1"/>
  <c r="X30" i="14" s="1"/>
  <c r="AT6" i="12"/>
  <c r="AS6" i="12"/>
  <c r="AR6" i="12"/>
  <c r="AQ6" i="12"/>
  <c r="AP6" i="12"/>
  <c r="AO6" i="12"/>
  <c r="AN6" i="12"/>
  <c r="AM6" i="12"/>
  <c r="AL6" i="12"/>
  <c r="AK6" i="12"/>
  <c r="AJ6" i="12"/>
  <c r="AI6" i="12"/>
  <c r="BJ5" i="12"/>
  <c r="AM6" i="14" s="1"/>
  <c r="BI5" i="12"/>
  <c r="AL6" i="14" s="1"/>
  <c r="BH5" i="12"/>
  <c r="AK6" i="14" s="1"/>
  <c r="BG5" i="12"/>
  <c r="AJ6" i="14" s="1"/>
  <c r="BF5" i="12"/>
  <c r="AI6" i="14" s="1"/>
  <c r="BE5" i="12"/>
  <c r="AH6" i="14" s="1"/>
  <c r="BD5" i="12"/>
  <c r="AG6" i="14" s="1"/>
  <c r="BC5" i="12"/>
  <c r="AF6" i="14" s="1"/>
  <c r="BB5" i="12"/>
  <c r="AE6" i="14" s="1"/>
  <c r="BA5" i="12"/>
  <c r="AD6" i="14" s="1"/>
  <c r="AZ5" i="12"/>
  <c r="AC6" i="14" s="1"/>
  <c r="AY5" i="12"/>
  <c r="AB6" i="14" s="1"/>
  <c r="AX5" i="12"/>
  <c r="AA6" i="14" s="1"/>
  <c r="AW5" i="12"/>
  <c r="Z6" i="14" s="1"/>
  <c r="AV5" i="12"/>
  <c r="Y6" i="14" s="1"/>
  <c r="AU5" i="12"/>
  <c r="X6" i="14" s="1"/>
  <c r="AT5" i="12"/>
  <c r="AS5" i="12"/>
  <c r="AR5" i="12"/>
  <c r="AQ5" i="12"/>
  <c r="AP5" i="12"/>
  <c r="AO5" i="12"/>
  <c r="AN5" i="12"/>
  <c r="AM5" i="12"/>
  <c r="AL5" i="12"/>
  <c r="AK5" i="12"/>
  <c r="AJ5" i="12"/>
  <c r="AI5" i="12"/>
  <c r="BJ4" i="12"/>
  <c r="AM5" i="14" s="1"/>
  <c r="AM28" i="14" s="1"/>
  <c r="AM161" i="14" s="1"/>
  <c r="AM191" i="14" s="1"/>
  <c r="V10" i="17" s="1"/>
  <c r="BI4" i="12"/>
  <c r="AL5" i="14" s="1"/>
  <c r="AL28" i="14" s="1"/>
  <c r="AL161" i="14" s="1"/>
  <c r="AL191" i="14" s="1"/>
  <c r="U10" i="17" s="1"/>
  <c r="BH4" i="12"/>
  <c r="AK5" i="14" s="1"/>
  <c r="AK28" i="14" s="1"/>
  <c r="AK161" i="14" s="1"/>
  <c r="AK191" i="14" s="1"/>
  <c r="T10" i="17" s="1"/>
  <c r="BG4" i="12"/>
  <c r="AJ5" i="14" s="1"/>
  <c r="AJ28" i="14" s="1"/>
  <c r="AJ161" i="14" s="1"/>
  <c r="AJ191" i="14" s="1"/>
  <c r="S10" i="17" s="1"/>
  <c r="BF4" i="12"/>
  <c r="AI5" i="14" s="1"/>
  <c r="AI28" i="14" s="1"/>
  <c r="AI161" i="14" s="1"/>
  <c r="AI191" i="14" s="1"/>
  <c r="R10" i="17" s="1"/>
  <c r="BE4" i="12"/>
  <c r="AH5" i="14" s="1"/>
  <c r="AH28" i="14" s="1"/>
  <c r="AH161" i="14" s="1"/>
  <c r="AH191" i="14" s="1"/>
  <c r="Q10" i="17" s="1"/>
  <c r="BD4" i="12"/>
  <c r="AG5" i="14" s="1"/>
  <c r="AG28" i="14" s="1"/>
  <c r="AG161" i="14" s="1"/>
  <c r="AG191" i="14" s="1"/>
  <c r="P10" i="17" s="1"/>
  <c r="BC4" i="12"/>
  <c r="AF5" i="14" s="1"/>
  <c r="AF28" i="14" s="1"/>
  <c r="AF161" i="14" s="1"/>
  <c r="AF191" i="14" s="1"/>
  <c r="O10" i="17" s="1"/>
  <c r="BB4" i="12"/>
  <c r="AE5" i="14" s="1"/>
  <c r="AE28" i="14" s="1"/>
  <c r="AE161" i="14" s="1"/>
  <c r="BA4" i="12"/>
  <c r="AD5" i="14" s="1"/>
  <c r="AD28" i="14" s="1"/>
  <c r="AD161" i="14" s="1"/>
  <c r="AD191" i="14" s="1"/>
  <c r="M10" i="17" s="1"/>
  <c r="AZ4" i="12"/>
  <c r="AC5" i="14" s="1"/>
  <c r="AC28" i="14" s="1"/>
  <c r="AC161" i="14" s="1"/>
  <c r="AC191" i="14" s="1"/>
  <c r="L10" i="17" s="1"/>
  <c r="AY4" i="12"/>
  <c r="AB5" i="14" s="1"/>
  <c r="AB28" i="14" s="1"/>
  <c r="AB161" i="14" s="1"/>
  <c r="AB191" i="14" s="1"/>
  <c r="K10" i="17" s="1"/>
  <c r="AX4" i="12"/>
  <c r="AA5" i="14" s="1"/>
  <c r="AA28" i="14" s="1"/>
  <c r="AA161" i="14" s="1"/>
  <c r="AA191" i="14" s="1"/>
  <c r="J10" i="17" s="1"/>
  <c r="AW4" i="12"/>
  <c r="Z5" i="14" s="1"/>
  <c r="Z28" i="14" s="1"/>
  <c r="Z161" i="14" s="1"/>
  <c r="Z191" i="14" s="1"/>
  <c r="I10" i="17" s="1"/>
  <c r="AV4" i="12"/>
  <c r="Y5" i="14" s="1"/>
  <c r="Y28" i="14" s="1"/>
  <c r="Y161" i="14" s="1"/>
  <c r="Y191" i="14" s="1"/>
  <c r="H10" i="17" s="1"/>
  <c r="AU4" i="12"/>
  <c r="X5" i="14" s="1"/>
  <c r="X28" i="14" s="1"/>
  <c r="X161" i="14" s="1"/>
  <c r="X191" i="14" s="1"/>
  <c r="G10" i="17" s="1"/>
  <c r="AT4" i="12"/>
  <c r="AS4" i="12"/>
  <c r="AR4" i="12"/>
  <c r="AQ4" i="12"/>
  <c r="AP4" i="12"/>
  <c r="AO4" i="12"/>
  <c r="AN4" i="12"/>
  <c r="AM4" i="12"/>
  <c r="AL4" i="12"/>
  <c r="AK4" i="12"/>
  <c r="AJ4" i="12"/>
  <c r="AI4" i="12"/>
  <c r="BJ3" i="12"/>
  <c r="AM4" i="14" s="1"/>
  <c r="AM27" i="14" s="1"/>
  <c r="AM160" i="14" s="1"/>
  <c r="AM190" i="14" s="1"/>
  <c r="V9" i="17" s="1"/>
  <c r="BI3" i="12"/>
  <c r="AL4" i="14" s="1"/>
  <c r="AL27" i="14" s="1"/>
  <c r="AL160" i="14" s="1"/>
  <c r="AL190" i="14" s="1"/>
  <c r="U9" i="17" s="1"/>
  <c r="BH3" i="12"/>
  <c r="AK4" i="14" s="1"/>
  <c r="AK27" i="14" s="1"/>
  <c r="AK160" i="14" s="1"/>
  <c r="AK190" i="14" s="1"/>
  <c r="T9" i="17" s="1"/>
  <c r="BG3" i="12"/>
  <c r="AJ4" i="14" s="1"/>
  <c r="AJ27" i="14" s="1"/>
  <c r="AJ160" i="14" s="1"/>
  <c r="AJ190" i="14" s="1"/>
  <c r="S9" i="17" s="1"/>
  <c r="BF3" i="12"/>
  <c r="AI4" i="14" s="1"/>
  <c r="AI27" i="14" s="1"/>
  <c r="AI160" i="14" s="1"/>
  <c r="AI190" i="14" s="1"/>
  <c r="R9" i="17" s="1"/>
  <c r="BE3" i="12"/>
  <c r="AH4" i="14" s="1"/>
  <c r="AH27" i="14" s="1"/>
  <c r="AH160" i="14" s="1"/>
  <c r="AH190" i="14" s="1"/>
  <c r="Q9" i="17" s="1"/>
  <c r="BD3" i="12"/>
  <c r="AG4" i="14" s="1"/>
  <c r="AG27" i="14" s="1"/>
  <c r="AG160" i="14" s="1"/>
  <c r="AG190" i="14" s="1"/>
  <c r="P9" i="17" s="1"/>
  <c r="BC3" i="12"/>
  <c r="AF4" i="14" s="1"/>
  <c r="AF27" i="14" s="1"/>
  <c r="AF160" i="14" s="1"/>
  <c r="AF190" i="14" s="1"/>
  <c r="O9" i="17" s="1"/>
  <c r="BB3" i="12"/>
  <c r="AE4" i="14" s="1"/>
  <c r="AE27" i="14" s="1"/>
  <c r="AE160" i="14" s="1"/>
  <c r="BA3" i="12"/>
  <c r="AD4" i="14" s="1"/>
  <c r="AD27" i="14" s="1"/>
  <c r="AD160" i="14" s="1"/>
  <c r="AD190" i="14" s="1"/>
  <c r="M9" i="17" s="1"/>
  <c r="AZ3" i="12"/>
  <c r="AC4" i="14" s="1"/>
  <c r="AC27" i="14" s="1"/>
  <c r="AC160" i="14" s="1"/>
  <c r="AC190" i="14" s="1"/>
  <c r="L9" i="17" s="1"/>
  <c r="AY3" i="12"/>
  <c r="AB4" i="14" s="1"/>
  <c r="AB27" i="14" s="1"/>
  <c r="AB160" i="14" s="1"/>
  <c r="AB190" i="14" s="1"/>
  <c r="K9" i="17" s="1"/>
  <c r="AX3" i="12"/>
  <c r="AA4" i="14" s="1"/>
  <c r="AA27" i="14" s="1"/>
  <c r="AA160" i="14" s="1"/>
  <c r="AA190" i="14" s="1"/>
  <c r="J9" i="17" s="1"/>
  <c r="AW3" i="12"/>
  <c r="Z4" i="14" s="1"/>
  <c r="Z27" i="14" s="1"/>
  <c r="Z160" i="14" s="1"/>
  <c r="Z190" i="14" s="1"/>
  <c r="I9" i="17" s="1"/>
  <c r="AV3" i="12"/>
  <c r="Y4" i="14" s="1"/>
  <c r="Y27" i="14" s="1"/>
  <c r="Y160" i="14" s="1"/>
  <c r="Y190" i="14" s="1"/>
  <c r="H9" i="17" s="1"/>
  <c r="AU3" i="12"/>
  <c r="X4" i="14" s="1"/>
  <c r="X27" i="14" s="1"/>
  <c r="X160" i="14" s="1"/>
  <c r="X190" i="14" s="1"/>
  <c r="G9" i="17" s="1"/>
  <c r="AT3" i="12"/>
  <c r="AS3" i="12"/>
  <c r="AR3" i="12"/>
  <c r="AQ3" i="12"/>
  <c r="AP3" i="12"/>
  <c r="AO3" i="12"/>
  <c r="AN3" i="12"/>
  <c r="AM3" i="12"/>
  <c r="AL3" i="12"/>
  <c r="AK3" i="12"/>
  <c r="AJ3" i="12"/>
  <c r="AI3" i="12"/>
  <c r="BJ2" i="12"/>
  <c r="BI2" i="12"/>
  <c r="BH2" i="12"/>
  <c r="BG2" i="12"/>
  <c r="BF2" i="12"/>
  <c r="BE2" i="12"/>
  <c r="BD2" i="12"/>
  <c r="BC2" i="12"/>
  <c r="BB2" i="12"/>
  <c r="BA2" i="12"/>
  <c r="AZ2" i="12"/>
  <c r="AY2" i="12"/>
  <c r="AX2" i="12"/>
  <c r="AW2" i="12"/>
  <c r="AV2" i="12"/>
  <c r="AU2" i="12"/>
  <c r="AT2" i="12"/>
  <c r="AS2" i="12"/>
  <c r="AR2" i="12"/>
  <c r="AR23" i="12" s="1"/>
  <c r="AQ2" i="12"/>
  <c r="AP2" i="12"/>
  <c r="AO2" i="12"/>
  <c r="AO23" i="12" s="1"/>
  <c r="AN2" i="12"/>
  <c r="AN23" i="12" s="1"/>
  <c r="AM2" i="12"/>
  <c r="AL2" i="12"/>
  <c r="AL23" i="12" s="1"/>
  <c r="AK2" i="12"/>
  <c r="AK23" i="12" s="1"/>
  <c r="AJ2" i="12"/>
  <c r="AJ23" i="12" s="1"/>
  <c r="AI2" i="12"/>
  <c r="C1" i="12"/>
  <c r="D1" i="12" s="1"/>
  <c r="E1" i="12" s="1"/>
  <c r="F1" i="12" s="1"/>
  <c r="G1" i="12" s="1"/>
  <c r="H1" i="12" s="1"/>
  <c r="I1" i="12" s="1"/>
  <c r="J1" i="12" s="1"/>
  <c r="K1" i="12" s="1"/>
  <c r="L1" i="12" s="1"/>
  <c r="M1" i="12" s="1"/>
  <c r="N1" i="12" s="1"/>
  <c r="O1" i="12" s="1"/>
  <c r="P1" i="12" s="1"/>
  <c r="Q1" i="12" s="1"/>
  <c r="R1" i="12" s="1"/>
  <c r="S1" i="12" s="1"/>
  <c r="T1" i="12" s="1"/>
  <c r="U1" i="12" s="1"/>
  <c r="V1" i="12" s="1"/>
  <c r="W1" i="12" s="1"/>
  <c r="X1" i="12" s="1"/>
  <c r="Y1" i="12" s="1"/>
  <c r="Z1" i="12" s="1"/>
  <c r="AA1" i="12" s="1"/>
  <c r="AB1" i="12" s="1"/>
  <c r="AC1" i="12" s="1"/>
  <c r="AD1" i="12" s="1"/>
  <c r="AM23" i="12" l="1"/>
  <c r="AQ23" i="12"/>
  <c r="BC23" i="12"/>
  <c r="AF3" i="14"/>
  <c r="AF26" i="14" s="1"/>
  <c r="AF159" i="14" s="1"/>
  <c r="AF189" i="14" s="1"/>
  <c r="O8" i="17" s="1"/>
  <c r="AS23" i="12"/>
  <c r="AI23" i="12"/>
  <c r="AU23" i="12"/>
  <c r="X3" i="14"/>
  <c r="X26" i="14" s="1"/>
  <c r="X159" i="14" s="1"/>
  <c r="BG23" i="12"/>
  <c r="AJ3" i="14"/>
  <c r="AJ26" i="14" s="1"/>
  <c r="AJ159" i="14" s="1"/>
  <c r="AJ189" i="14" s="1"/>
  <c r="S8" i="17" s="1"/>
  <c r="X149" i="14"/>
  <c r="X29" i="14"/>
  <c r="X162" i="14" s="1"/>
  <c r="X192" i="14" s="1"/>
  <c r="G11" i="17" s="1"/>
  <c r="AJ149" i="14"/>
  <c r="AJ175" i="14" s="1"/>
  <c r="AJ29" i="14"/>
  <c r="AJ162" i="14" s="1"/>
  <c r="AJ192" i="14" s="1"/>
  <c r="S11" i="17" s="1"/>
  <c r="AB103" i="14"/>
  <c r="AB105" i="14" s="1"/>
  <c r="AB106" i="14"/>
  <c r="AB164" i="14" s="1"/>
  <c r="AB31" i="14"/>
  <c r="AJ125" i="14"/>
  <c r="AJ140" i="14"/>
  <c r="AJ142" i="14" s="1"/>
  <c r="AJ143" i="14" s="1"/>
  <c r="AJ170" i="14" s="1"/>
  <c r="AJ200" i="14" s="1"/>
  <c r="S19" i="17" s="1"/>
  <c r="AM29" i="14"/>
  <c r="AM162" i="14" s="1"/>
  <c r="AM192" i="14" s="1"/>
  <c r="V11" i="17" s="1"/>
  <c r="AM149" i="14"/>
  <c r="AM175" i="14" s="1"/>
  <c r="AM205" i="14" s="1"/>
  <c r="V24" i="17" s="1"/>
  <c r="AP23" i="12"/>
  <c r="AV23" i="12"/>
  <c r="Y3" i="14"/>
  <c r="Y26" i="14" s="1"/>
  <c r="Y159" i="14" s="1"/>
  <c r="BH23" i="12"/>
  <c r="AK3" i="14"/>
  <c r="AK26" i="14" s="1"/>
  <c r="AK159" i="14" s="1"/>
  <c r="AK189" i="14" s="1"/>
  <c r="T8" i="17" s="1"/>
  <c r="Y29" i="14"/>
  <c r="Y149" i="14"/>
  <c r="Y175" i="14" s="1"/>
  <c r="AK29" i="14"/>
  <c r="AK149" i="14"/>
  <c r="AK175" i="14" s="1"/>
  <c r="AK205" i="14" s="1"/>
  <c r="T24" i="17" s="1"/>
  <c r="AC31" i="14"/>
  <c r="AC103" i="14"/>
  <c r="AC105" i="14" s="1"/>
  <c r="AC106" i="14" s="1"/>
  <c r="AC164" i="14" s="1"/>
  <c r="AK125" i="14"/>
  <c r="AK140" i="14"/>
  <c r="AK142" i="14" s="1"/>
  <c r="AK143" i="14" s="1"/>
  <c r="AK170" i="14" s="1"/>
  <c r="AK200" i="14" s="1"/>
  <c r="T19" i="17" s="1"/>
  <c r="AW23" i="12"/>
  <c r="Z3" i="14"/>
  <c r="Z26" i="14" s="1"/>
  <c r="BI23" i="12"/>
  <c r="AL3" i="14"/>
  <c r="AL26" i="14" s="1"/>
  <c r="AL159" i="14" s="1"/>
  <c r="AL189" i="14" s="1"/>
  <c r="U8" i="17" s="1"/>
  <c r="Z29" i="14"/>
  <c r="Z149" i="14"/>
  <c r="AL29" i="14"/>
  <c r="AL149" i="14"/>
  <c r="AD103" i="14"/>
  <c r="AD105" i="14" s="1"/>
  <c r="AD106" i="14" s="1"/>
  <c r="AD164" i="14" s="1"/>
  <c r="AD31" i="14"/>
  <c r="AL125" i="14"/>
  <c r="AL140" i="14"/>
  <c r="AL142" i="14" s="1"/>
  <c r="AL143" i="14" s="1"/>
  <c r="AL170" i="14" s="1"/>
  <c r="AL200" i="14" s="1"/>
  <c r="U19" i="17" s="1"/>
  <c r="BJ23" i="12"/>
  <c r="AM3" i="14"/>
  <c r="AM26" i="14" s="1"/>
  <c r="AE31" i="14"/>
  <c r="AE103" i="14"/>
  <c r="AE105" i="14" s="1"/>
  <c r="AE106" i="14" s="1"/>
  <c r="AE164" i="14" s="1"/>
  <c r="AB29" i="14"/>
  <c r="AB162" i="14" s="1"/>
  <c r="AB192" i="14" s="1"/>
  <c r="K11" i="17" s="1"/>
  <c r="AB149" i="14"/>
  <c r="X163" i="14"/>
  <c r="AF103" i="14"/>
  <c r="AF105" i="14" s="1"/>
  <c r="AF106" i="14" s="1"/>
  <c r="AF164" i="14" s="1"/>
  <c r="AF194" i="14" s="1"/>
  <c r="O13" i="17" s="1"/>
  <c r="AF31" i="14"/>
  <c r="AF170" i="14"/>
  <c r="AF200" i="14" s="1"/>
  <c r="O19" i="17" s="1"/>
  <c r="X175" i="14"/>
  <c r="AJ205" i="14"/>
  <c r="S24" i="17" s="1"/>
  <c r="AY23" i="12"/>
  <c r="AB3" i="14"/>
  <c r="AB26" i="14" s="1"/>
  <c r="AB159" i="14" s="1"/>
  <c r="AZ23" i="12"/>
  <c r="AC3" i="14"/>
  <c r="AC26" i="14" s="1"/>
  <c r="AC159" i="14" s="1"/>
  <c r="AC149" i="14"/>
  <c r="AC175" i="14" s="1"/>
  <c r="AC29" i="14"/>
  <c r="Y163" i="14"/>
  <c r="AG31" i="14"/>
  <c r="AG103" i="14"/>
  <c r="AG105" i="14" s="1"/>
  <c r="AG106" i="14" s="1"/>
  <c r="AG164" i="14" s="1"/>
  <c r="AG194" i="14" s="1"/>
  <c r="P13" i="17" s="1"/>
  <c r="BA23" i="12"/>
  <c r="AD3" i="14"/>
  <c r="AD26" i="14" s="1"/>
  <c r="AD159" i="14" s="1"/>
  <c r="AD149" i="14"/>
  <c r="AD175" i="14" s="1"/>
  <c r="AD29" i="14"/>
  <c r="AD162" i="14" s="1"/>
  <c r="AD192" i="14" s="1"/>
  <c r="M11" i="17" s="1"/>
  <c r="Z163" i="14"/>
  <c r="AH106" i="14"/>
  <c r="AH164" i="14" s="1"/>
  <c r="AH194" i="14" s="1"/>
  <c r="Q13" i="17" s="1"/>
  <c r="AH103" i="14"/>
  <c r="AH105" i="14" s="1"/>
  <c r="AH31" i="14"/>
  <c r="Z175" i="14"/>
  <c r="AL175" i="14"/>
  <c r="AL205" i="14" s="1"/>
  <c r="U24" i="17" s="1"/>
  <c r="AE191" i="14"/>
  <c r="N10" i="17" s="1"/>
  <c r="S161" i="14"/>
  <c r="AE149" i="14"/>
  <c r="AE29" i="14"/>
  <c r="AE162" i="14" s="1"/>
  <c r="AA163" i="14"/>
  <c r="AI103" i="14"/>
  <c r="AI105" i="14" s="1"/>
  <c r="AI106" i="14" s="1"/>
  <c r="AI164" i="14" s="1"/>
  <c r="AI194" i="14" s="1"/>
  <c r="R13" i="17" s="1"/>
  <c r="AI31" i="14"/>
  <c r="AE195" i="14"/>
  <c r="N14" i="17" s="1"/>
  <c r="S165" i="14"/>
  <c r="S168" i="14"/>
  <c r="AE198" i="14"/>
  <c r="N17" i="17" s="1"/>
  <c r="AI170" i="14"/>
  <c r="AI200" i="14" s="1"/>
  <c r="R19" i="17" s="1"/>
  <c r="AE125" i="14"/>
  <c r="AE140" i="14"/>
  <c r="AE142" i="14" s="1"/>
  <c r="AE143" i="14" s="1"/>
  <c r="AF149" i="14"/>
  <c r="AF175" i="14" s="1"/>
  <c r="AF205" i="14" s="1"/>
  <c r="O24" i="17" s="1"/>
  <c r="AF29" i="14"/>
  <c r="AF162" i="14" s="1"/>
  <c r="AF192" i="14" s="1"/>
  <c r="O11" i="17" s="1"/>
  <c r="AB45" i="14"/>
  <c r="AB163" i="14"/>
  <c r="X103" i="14"/>
  <c r="X105" i="14" s="1"/>
  <c r="X106" i="14"/>
  <c r="X164" i="14" s="1"/>
  <c r="X31" i="14"/>
  <c r="AJ103" i="14"/>
  <c r="AJ105" i="14" s="1"/>
  <c r="AJ106" i="14" s="1"/>
  <c r="AJ164" i="14" s="1"/>
  <c r="AJ194" i="14" s="1"/>
  <c r="S13" i="17" s="1"/>
  <c r="AJ31" i="14"/>
  <c r="AF125" i="14"/>
  <c r="AF140" i="14"/>
  <c r="AF142" i="14" s="1"/>
  <c r="AF143" i="14" s="1"/>
  <c r="AB175" i="14"/>
  <c r="AX23" i="12"/>
  <c r="AA3" i="14"/>
  <c r="AA26" i="14" s="1"/>
  <c r="AA159" i="14" s="1"/>
  <c r="BD23" i="12"/>
  <c r="AG3" i="14"/>
  <c r="AG26" i="14" s="1"/>
  <c r="AG159" i="14" s="1"/>
  <c r="AG189" i="14" s="1"/>
  <c r="P8" i="17" s="1"/>
  <c r="AG149" i="14"/>
  <c r="AG175" i="14" s="1"/>
  <c r="AG205" i="14" s="1"/>
  <c r="P24" i="17" s="1"/>
  <c r="AG29" i="14"/>
  <c r="AC45" i="14"/>
  <c r="AC163" i="14"/>
  <c r="Y103" i="14"/>
  <c r="Y105" i="14" s="1"/>
  <c r="Y106" i="14" s="1"/>
  <c r="Y164" i="14" s="1"/>
  <c r="Y31" i="14"/>
  <c r="AK103" i="14"/>
  <c r="AK105" i="14" s="1"/>
  <c r="AK106" i="14" s="1"/>
  <c r="AK164" i="14" s="1"/>
  <c r="AK194" i="14" s="1"/>
  <c r="T13" i="17" s="1"/>
  <c r="AK31" i="14"/>
  <c r="AG125" i="14"/>
  <c r="AG140" i="14"/>
  <c r="AG142" i="14" s="1"/>
  <c r="AG143" i="14" s="1"/>
  <c r="AG170" i="14" s="1"/>
  <c r="AG200" i="14" s="1"/>
  <c r="P19" i="17" s="1"/>
  <c r="AA29" i="14"/>
  <c r="AA149" i="14"/>
  <c r="AA175" i="14" s="1"/>
  <c r="AE197" i="14"/>
  <c r="N16" i="17" s="1"/>
  <c r="S167" i="14"/>
  <c r="AM125" i="14"/>
  <c r="AM140" i="14"/>
  <c r="AM142" i="14" s="1"/>
  <c r="AM143" i="14" s="1"/>
  <c r="BB23" i="12"/>
  <c r="AE3" i="14"/>
  <c r="AE26" i="14" s="1"/>
  <c r="AH149" i="14"/>
  <c r="AH175" i="14" s="1"/>
  <c r="AH205" i="14" s="1"/>
  <c r="Q24" i="17" s="1"/>
  <c r="AH29" i="14"/>
  <c r="AD45" i="14"/>
  <c r="AD163" i="14"/>
  <c r="Z103" i="14"/>
  <c r="Z105" i="14" s="1"/>
  <c r="Z106" i="14" s="1"/>
  <c r="Z164" i="14" s="1"/>
  <c r="Z31" i="14"/>
  <c r="AL103" i="14"/>
  <c r="AL105" i="14" s="1"/>
  <c r="AL106" i="14" s="1"/>
  <c r="AL164" i="14" s="1"/>
  <c r="AL194" i="14" s="1"/>
  <c r="U13" i="17" s="1"/>
  <c r="AL31" i="14"/>
  <c r="AH125" i="14"/>
  <c r="AH140" i="14"/>
  <c r="AH142" i="14" s="1"/>
  <c r="AH143" i="14" s="1"/>
  <c r="AH170" i="14" s="1"/>
  <c r="AH200" i="14" s="1"/>
  <c r="Q19" i="17" s="1"/>
  <c r="AE170" i="14"/>
  <c r="AE200" i="14" s="1"/>
  <c r="N19" i="17" s="1"/>
  <c r="BE23" i="12"/>
  <c r="AH3" i="14"/>
  <c r="AH26" i="14" s="1"/>
  <c r="AH159" i="14" s="1"/>
  <c r="AH189" i="14" s="1"/>
  <c r="Q8" i="17" s="1"/>
  <c r="AT23" i="12"/>
  <c r="BF23" i="12"/>
  <c r="AI3" i="14"/>
  <c r="AI26" i="14" s="1"/>
  <c r="AI159" i="14" s="1"/>
  <c r="AI189" i="14" s="1"/>
  <c r="R8" i="17" s="1"/>
  <c r="AE190" i="14"/>
  <c r="N9" i="17" s="1"/>
  <c r="S160" i="14"/>
  <c r="AI149" i="14"/>
  <c r="AI175" i="14" s="1"/>
  <c r="AI205" i="14" s="1"/>
  <c r="R24" i="17" s="1"/>
  <c r="AI29" i="14"/>
  <c r="AI162" i="14" s="1"/>
  <c r="AI192" i="14" s="1"/>
  <c r="R11" i="17" s="1"/>
  <c r="AE193" i="14"/>
  <c r="N12" i="17" s="1"/>
  <c r="S163" i="14"/>
  <c r="AA31" i="14"/>
  <c r="AA103" i="14"/>
  <c r="AA105" i="14" s="1"/>
  <c r="AA106" i="14" s="1"/>
  <c r="AA164" i="14" s="1"/>
  <c r="AM31" i="14"/>
  <c r="AM103" i="14"/>
  <c r="AM105" i="14" s="1"/>
  <c r="AM106" i="14" s="1"/>
  <c r="AM164" i="14" s="1"/>
  <c r="AM194" i="14" s="1"/>
  <c r="V13" i="17" s="1"/>
  <c r="AE196" i="14"/>
  <c r="N15" i="17" s="1"/>
  <c r="S166" i="14"/>
  <c r="AE199" i="14"/>
  <c r="N18" i="17" s="1"/>
  <c r="S169" i="14"/>
  <c r="AM120" i="14"/>
  <c r="AM47" i="14"/>
  <c r="AI125" i="14"/>
  <c r="AI140" i="14"/>
  <c r="AI142" i="14" s="1"/>
  <c r="AI143" i="14" s="1"/>
  <c r="AE175" i="14"/>
  <c r="AE205" i="14" s="1"/>
  <c r="N24" i="17" s="1"/>
  <c r="X187" i="10"/>
  <c r="Y187" i="10" s="1"/>
  <c r="Z187" i="10" s="1"/>
  <c r="AA187" i="10" s="1"/>
  <c r="AB187" i="10" s="1"/>
  <c r="AC187" i="10" s="1"/>
  <c r="AD187" i="10" s="1"/>
  <c r="AE187" i="10" s="1"/>
  <c r="AF187" i="10" s="1"/>
  <c r="AG187" i="10" s="1"/>
  <c r="AH187" i="10" s="1"/>
  <c r="AI187" i="10" s="1"/>
  <c r="AJ187" i="10" s="1"/>
  <c r="AK187" i="10" s="1"/>
  <c r="AL187" i="10" s="1"/>
  <c r="AM187" i="10" s="1"/>
  <c r="AN187" i="10" s="1"/>
  <c r="AO187" i="10" s="1"/>
  <c r="X157" i="10"/>
  <c r="Y157" i="10" s="1"/>
  <c r="Z157" i="10" s="1"/>
  <c r="AA157" i="10" s="1"/>
  <c r="AB157" i="10" s="1"/>
  <c r="AC157" i="10" s="1"/>
  <c r="AD157" i="10" s="1"/>
  <c r="Y101" i="10"/>
  <c r="Y102" i="10" s="1"/>
  <c r="X101" i="10"/>
  <c r="X102" i="10" s="1"/>
  <c r="Y95" i="10"/>
  <c r="Z95" i="10"/>
  <c r="AA95" i="10"/>
  <c r="AB95" i="10"/>
  <c r="AC95" i="10"/>
  <c r="X95" i="10"/>
  <c r="AJ8" i="10"/>
  <c r="AJ17" i="10"/>
  <c r="AJ40" i="10" s="1"/>
  <c r="BJ24" i="11"/>
  <c r="BI24" i="11"/>
  <c r="BH24" i="11"/>
  <c r="BG24" i="11"/>
  <c r="BF24"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BM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BM20" i="11"/>
  <c r="BJ20" i="11"/>
  <c r="AM21" i="14" s="1"/>
  <c r="AM22" i="14" s="1"/>
  <c r="BI20" i="11"/>
  <c r="AL21" i="14" s="1"/>
  <c r="AL22" i="14" s="1"/>
  <c r="BH20" i="11"/>
  <c r="AK21" i="14" s="1"/>
  <c r="AK22" i="14" s="1"/>
  <c r="BG20" i="11"/>
  <c r="AJ21" i="14" s="1"/>
  <c r="AJ22" i="14" s="1"/>
  <c r="BF20" i="11"/>
  <c r="AI21" i="14" s="1"/>
  <c r="AI22" i="14" s="1"/>
  <c r="BE20" i="11"/>
  <c r="AH21" i="14" s="1"/>
  <c r="AH22" i="14" s="1"/>
  <c r="BD20" i="11"/>
  <c r="BC20" i="11"/>
  <c r="AF21" i="14" s="1"/>
  <c r="AF22" i="14" s="1"/>
  <c r="BB20" i="11"/>
  <c r="AE21" i="14" s="1"/>
  <c r="AE22" i="14" s="1"/>
  <c r="BA20" i="11"/>
  <c r="AD21" i="14" s="1"/>
  <c r="AZ20" i="11"/>
  <c r="AC21" i="14" s="1"/>
  <c r="AY20" i="11"/>
  <c r="AB21" i="14" s="1"/>
  <c r="AX20" i="11"/>
  <c r="AA21" i="14" s="1"/>
  <c r="AW20" i="11"/>
  <c r="Z21" i="14" s="1"/>
  <c r="AV20" i="11"/>
  <c r="Y21" i="14" s="1"/>
  <c r="AU20" i="11"/>
  <c r="X21" i="14" s="1"/>
  <c r="AT20" i="11"/>
  <c r="AS20" i="11"/>
  <c r="AR20" i="11"/>
  <c r="AQ20" i="11"/>
  <c r="AP20" i="11"/>
  <c r="AO20" i="11"/>
  <c r="AN20" i="11"/>
  <c r="AM20" i="11"/>
  <c r="AL20" i="11"/>
  <c r="AK20" i="11"/>
  <c r="AJ20" i="11"/>
  <c r="AI20" i="11"/>
  <c r="BJ19" i="11"/>
  <c r="AM20" i="10" s="1"/>
  <c r="BI19" i="11"/>
  <c r="AL20" i="10" s="1"/>
  <c r="AL43" i="10" s="1"/>
  <c r="BH19" i="11"/>
  <c r="AK20" i="10" s="1"/>
  <c r="AK43" i="10" s="1"/>
  <c r="BG19" i="11"/>
  <c r="AJ20" i="10" s="1"/>
  <c r="AJ43" i="10" s="1"/>
  <c r="AJ114" i="10" s="1"/>
  <c r="AJ175" i="10" s="1"/>
  <c r="AJ205" i="10" s="1"/>
  <c r="S25" i="16" s="1"/>
  <c r="BF19" i="11"/>
  <c r="AI20" i="10" s="1"/>
  <c r="BE19" i="11"/>
  <c r="AH20" i="10" s="1"/>
  <c r="AH43" i="10" s="1"/>
  <c r="BD19" i="11"/>
  <c r="AG20" i="10" s="1"/>
  <c r="BC19" i="11"/>
  <c r="AF20" i="10" s="1"/>
  <c r="BB19" i="11"/>
  <c r="AE20" i="10" s="1"/>
  <c r="BA19" i="11"/>
  <c r="AD20" i="10" s="1"/>
  <c r="AD43" i="10" s="1"/>
  <c r="AZ19" i="11"/>
  <c r="AC20" i="10" s="1"/>
  <c r="AC43" i="10" s="1"/>
  <c r="AY19" i="11"/>
  <c r="AB20" i="10" s="1"/>
  <c r="AB43" i="10" s="1"/>
  <c r="AX19" i="11"/>
  <c r="AA20" i="10" s="1"/>
  <c r="AA43" i="10" s="1"/>
  <c r="AW19" i="11"/>
  <c r="Z20" i="10" s="1"/>
  <c r="Z43" i="10" s="1"/>
  <c r="AV19" i="11"/>
  <c r="Y20" i="10" s="1"/>
  <c r="Y43" i="10" s="1"/>
  <c r="AU19" i="11"/>
  <c r="X20" i="10" s="1"/>
  <c r="X43" i="10" s="1"/>
  <c r="AT19" i="11"/>
  <c r="AS19" i="11"/>
  <c r="AR19" i="11"/>
  <c r="AQ19" i="11"/>
  <c r="AP19" i="11"/>
  <c r="AO19" i="11"/>
  <c r="AN19" i="11"/>
  <c r="AM19" i="11"/>
  <c r="AL19" i="11"/>
  <c r="AK19" i="11"/>
  <c r="AJ19" i="11"/>
  <c r="AI19" i="11"/>
  <c r="AF19" i="11"/>
  <c r="BM19" i="11" s="1"/>
  <c r="BJ18" i="11"/>
  <c r="AM19" i="10" s="1"/>
  <c r="BI18" i="11"/>
  <c r="AL19" i="10" s="1"/>
  <c r="AL42" i="10" s="1"/>
  <c r="BH18" i="11"/>
  <c r="AK19" i="10" s="1"/>
  <c r="AK42" i="10" s="1"/>
  <c r="BG18" i="11"/>
  <c r="AJ19" i="10" s="1"/>
  <c r="BF18" i="11"/>
  <c r="AI19" i="10" s="1"/>
  <c r="BE18" i="11"/>
  <c r="AH19" i="10" s="1"/>
  <c r="BD18" i="11"/>
  <c r="AG19" i="10" s="1"/>
  <c r="BC18" i="11"/>
  <c r="AF19" i="10" s="1"/>
  <c r="BB18" i="11"/>
  <c r="AE19" i="10" s="1"/>
  <c r="BA18" i="11"/>
  <c r="AD19" i="10" s="1"/>
  <c r="AD42" i="10" s="1"/>
  <c r="AZ18" i="11"/>
  <c r="AC19" i="10" s="1"/>
  <c r="AC42" i="10" s="1"/>
  <c r="AY18" i="11"/>
  <c r="AB19" i="10" s="1"/>
  <c r="AB42" i="10" s="1"/>
  <c r="AX18" i="11"/>
  <c r="AA19" i="10" s="1"/>
  <c r="AA42" i="10" s="1"/>
  <c r="AW18" i="11"/>
  <c r="Z19" i="10" s="1"/>
  <c r="Z42" i="10" s="1"/>
  <c r="AV18" i="11"/>
  <c r="Y19" i="10" s="1"/>
  <c r="Y42" i="10" s="1"/>
  <c r="AU18" i="11"/>
  <c r="X19" i="10" s="1"/>
  <c r="X42" i="10" s="1"/>
  <c r="AT18" i="11"/>
  <c r="AS18" i="11"/>
  <c r="AR18" i="11"/>
  <c r="AQ18" i="11"/>
  <c r="AP18" i="11"/>
  <c r="AO18" i="11"/>
  <c r="AN18" i="11"/>
  <c r="AM18" i="11"/>
  <c r="AL18" i="11"/>
  <c r="AK18" i="11"/>
  <c r="AJ18" i="11"/>
  <c r="AI18" i="11"/>
  <c r="AF18" i="11"/>
  <c r="BM18" i="11" s="1"/>
  <c r="BJ17" i="11"/>
  <c r="AM18" i="10" s="1"/>
  <c r="BI17" i="11"/>
  <c r="AL18" i="10" s="1"/>
  <c r="AL41" i="10" s="1"/>
  <c r="BH17" i="11"/>
  <c r="AK18" i="10" s="1"/>
  <c r="AK41" i="10" s="1"/>
  <c r="BG17" i="11"/>
  <c r="AJ18" i="10" s="1"/>
  <c r="BF17" i="11"/>
  <c r="AI18" i="10" s="1"/>
  <c r="BE17" i="11"/>
  <c r="AH18" i="10" s="1"/>
  <c r="BD17" i="11"/>
  <c r="AG18" i="10" s="1"/>
  <c r="AG41" i="10" s="1"/>
  <c r="AG133" i="10" s="1"/>
  <c r="AG173" i="10" s="1"/>
  <c r="AG203" i="10" s="1"/>
  <c r="P23" i="16" s="1"/>
  <c r="BC17" i="11"/>
  <c r="AF18" i="10" s="1"/>
  <c r="AF41" i="10" s="1"/>
  <c r="BB17" i="11"/>
  <c r="AE18" i="10" s="1"/>
  <c r="BA17" i="11"/>
  <c r="AD18" i="10" s="1"/>
  <c r="AD41" i="10" s="1"/>
  <c r="AZ17" i="11"/>
  <c r="AC18" i="10" s="1"/>
  <c r="AC41" i="10" s="1"/>
  <c r="AY17" i="11"/>
  <c r="AB18" i="10" s="1"/>
  <c r="AB41" i="10" s="1"/>
  <c r="AX17" i="11"/>
  <c r="AA18" i="10" s="1"/>
  <c r="AA41" i="10" s="1"/>
  <c r="AW17" i="11"/>
  <c r="Z18" i="10" s="1"/>
  <c r="Z41" i="10" s="1"/>
  <c r="AV17" i="11"/>
  <c r="Y18" i="10" s="1"/>
  <c r="Y41" i="10" s="1"/>
  <c r="AU17" i="11"/>
  <c r="X18" i="10" s="1"/>
  <c r="X41" i="10" s="1"/>
  <c r="AT17" i="11"/>
  <c r="AS17" i="11"/>
  <c r="AR17" i="11"/>
  <c r="AQ17" i="11"/>
  <c r="AP17" i="11"/>
  <c r="AO17" i="11"/>
  <c r="AN17" i="11"/>
  <c r="AM17" i="11"/>
  <c r="AL17" i="11"/>
  <c r="AK17" i="11"/>
  <c r="AJ17" i="11"/>
  <c r="AI17" i="11"/>
  <c r="AF17" i="11"/>
  <c r="BM17" i="11" s="1"/>
  <c r="BJ16" i="11"/>
  <c r="AM17" i="10" s="1"/>
  <c r="BI16" i="11"/>
  <c r="AL17" i="10" s="1"/>
  <c r="AL40" i="10" s="1"/>
  <c r="BH16" i="11"/>
  <c r="AK17" i="10" s="1"/>
  <c r="AK40" i="10" s="1"/>
  <c r="BG16" i="11"/>
  <c r="BF16" i="11"/>
  <c r="AI17" i="10" s="1"/>
  <c r="BE16" i="11"/>
  <c r="AH17" i="10" s="1"/>
  <c r="BD16" i="11"/>
  <c r="AG17" i="10" s="1"/>
  <c r="BC16" i="11"/>
  <c r="AF17" i="10" s="1"/>
  <c r="BB16" i="11"/>
  <c r="AE17" i="10" s="1"/>
  <c r="BA16" i="11"/>
  <c r="AD17" i="10" s="1"/>
  <c r="AD40" i="10" s="1"/>
  <c r="AZ16" i="11"/>
  <c r="AC17" i="10" s="1"/>
  <c r="AC40" i="10" s="1"/>
  <c r="AY16" i="11"/>
  <c r="AB17" i="10" s="1"/>
  <c r="AB40" i="10" s="1"/>
  <c r="AX16" i="11"/>
  <c r="AA17" i="10" s="1"/>
  <c r="AA40" i="10" s="1"/>
  <c r="AW16" i="11"/>
  <c r="Z17" i="10" s="1"/>
  <c r="Z40" i="10" s="1"/>
  <c r="AV16" i="11"/>
  <c r="Y17" i="10" s="1"/>
  <c r="Y40" i="10" s="1"/>
  <c r="AU16" i="11"/>
  <c r="X17" i="10" s="1"/>
  <c r="X40" i="10" s="1"/>
  <c r="AT16" i="11"/>
  <c r="AS16" i="11"/>
  <c r="AR16" i="11"/>
  <c r="AQ16" i="11"/>
  <c r="AP16" i="11"/>
  <c r="AO16" i="11"/>
  <c r="AN16" i="11"/>
  <c r="AM16" i="11"/>
  <c r="AL16" i="11"/>
  <c r="AK16" i="11"/>
  <c r="AJ16" i="11"/>
  <c r="AI16" i="11"/>
  <c r="AF16" i="11"/>
  <c r="BM16" i="11" s="1"/>
  <c r="BJ15" i="11"/>
  <c r="AM16" i="10" s="1"/>
  <c r="BI15" i="11"/>
  <c r="AL16" i="10" s="1"/>
  <c r="BH15" i="11"/>
  <c r="AK16" i="10" s="1"/>
  <c r="BG15" i="11"/>
  <c r="AJ16" i="10" s="1"/>
  <c r="AJ39" i="10" s="1"/>
  <c r="BF15" i="11"/>
  <c r="AI16" i="10" s="1"/>
  <c r="AI39" i="10" s="1"/>
  <c r="BE15" i="11"/>
  <c r="AH16" i="10" s="1"/>
  <c r="BD15" i="11"/>
  <c r="AG16" i="10" s="1"/>
  <c r="BC15" i="11"/>
  <c r="AF16" i="10" s="1"/>
  <c r="AF39" i="10" s="1"/>
  <c r="BB15" i="11"/>
  <c r="AE16" i="10" s="1"/>
  <c r="BA15" i="11"/>
  <c r="AD16" i="10" s="1"/>
  <c r="AD39" i="10" s="1"/>
  <c r="AZ15" i="11"/>
  <c r="AC16" i="10" s="1"/>
  <c r="AC39" i="10" s="1"/>
  <c r="AY15" i="11"/>
  <c r="AB16" i="10" s="1"/>
  <c r="AB39" i="10" s="1"/>
  <c r="AX15" i="11"/>
  <c r="AA16" i="10" s="1"/>
  <c r="AA39" i="10" s="1"/>
  <c r="AW15" i="11"/>
  <c r="Z16" i="10" s="1"/>
  <c r="Z39" i="10" s="1"/>
  <c r="AV15" i="11"/>
  <c r="Y16" i="10" s="1"/>
  <c r="Y39" i="10" s="1"/>
  <c r="AU15" i="11"/>
  <c r="X16" i="10" s="1"/>
  <c r="X39" i="10" s="1"/>
  <c r="AT15" i="11"/>
  <c r="AS15" i="11"/>
  <c r="AR15" i="11"/>
  <c r="AQ15" i="11"/>
  <c r="AP15" i="11"/>
  <c r="AO15" i="11"/>
  <c r="AN15" i="11"/>
  <c r="AM15" i="11"/>
  <c r="AL15" i="11"/>
  <c r="AK15" i="11"/>
  <c r="AJ15" i="11"/>
  <c r="AI15" i="11"/>
  <c r="AF15" i="11"/>
  <c r="BM15" i="11" s="1"/>
  <c r="BJ14" i="11"/>
  <c r="AM15" i="10" s="1"/>
  <c r="BI14" i="11"/>
  <c r="AL15" i="10" s="1"/>
  <c r="BH14" i="11"/>
  <c r="AK15" i="10" s="1"/>
  <c r="AK38" i="10" s="1"/>
  <c r="BG14" i="11"/>
  <c r="AJ15" i="10" s="1"/>
  <c r="AJ38" i="10" s="1"/>
  <c r="AJ124" i="10" s="1"/>
  <c r="BF14" i="11"/>
  <c r="AI15" i="10" s="1"/>
  <c r="AI38" i="10" s="1"/>
  <c r="BE14" i="11"/>
  <c r="AH15" i="10" s="1"/>
  <c r="AH38" i="10" s="1"/>
  <c r="BD14" i="11"/>
  <c r="AG15" i="10" s="1"/>
  <c r="BC14" i="11"/>
  <c r="AF15" i="10" s="1"/>
  <c r="AF38" i="10" s="1"/>
  <c r="AF124" i="10" s="1"/>
  <c r="BB14" i="11"/>
  <c r="AE15" i="10" s="1"/>
  <c r="BA14" i="11"/>
  <c r="AD15" i="10" s="1"/>
  <c r="AD38" i="10" s="1"/>
  <c r="AZ14" i="11"/>
  <c r="AC15" i="10" s="1"/>
  <c r="AC38" i="10" s="1"/>
  <c r="AY14" i="11"/>
  <c r="AB15" i="10" s="1"/>
  <c r="AB38" i="10" s="1"/>
  <c r="AX14" i="11"/>
  <c r="AA15" i="10" s="1"/>
  <c r="AA38" i="10" s="1"/>
  <c r="AW14" i="11"/>
  <c r="Z15" i="10" s="1"/>
  <c r="Z38" i="10" s="1"/>
  <c r="AV14" i="11"/>
  <c r="Y15" i="10" s="1"/>
  <c r="Y38" i="10" s="1"/>
  <c r="AU14" i="11"/>
  <c r="X15" i="10" s="1"/>
  <c r="X38" i="10" s="1"/>
  <c r="AT14" i="11"/>
  <c r="AS14" i="11"/>
  <c r="AR14" i="11"/>
  <c r="AQ14" i="11"/>
  <c r="AP14" i="11"/>
  <c r="AO14" i="11"/>
  <c r="AN14" i="11"/>
  <c r="AM14" i="11"/>
  <c r="AL14" i="11"/>
  <c r="AK14" i="11"/>
  <c r="AJ14" i="11"/>
  <c r="AI14" i="11"/>
  <c r="AF14" i="11"/>
  <c r="BM14" i="11" s="1"/>
  <c r="BJ13" i="11"/>
  <c r="AM14" i="10" s="1"/>
  <c r="BI13" i="11"/>
  <c r="AL14" i="10" s="1"/>
  <c r="BH13" i="11"/>
  <c r="AK14" i="10" s="1"/>
  <c r="BG13" i="11"/>
  <c r="AJ14" i="10" s="1"/>
  <c r="AJ37" i="10" s="1"/>
  <c r="BF13" i="11"/>
  <c r="AI14" i="10" s="1"/>
  <c r="BE13" i="11"/>
  <c r="AH14" i="10" s="1"/>
  <c r="AH37" i="10" s="1"/>
  <c r="BD13" i="11"/>
  <c r="AG14" i="10" s="1"/>
  <c r="AG37" i="10" s="1"/>
  <c r="BC13" i="11"/>
  <c r="AF14" i="10" s="1"/>
  <c r="BB13" i="11"/>
  <c r="AE14" i="10" s="1"/>
  <c r="BA13" i="11"/>
  <c r="AD14" i="10" s="1"/>
  <c r="AD37" i="10" s="1"/>
  <c r="AZ13" i="11"/>
  <c r="AC14" i="10" s="1"/>
  <c r="AC37" i="10" s="1"/>
  <c r="AY13" i="11"/>
  <c r="AB14" i="10" s="1"/>
  <c r="AB37" i="10" s="1"/>
  <c r="AX13" i="11"/>
  <c r="AA14" i="10" s="1"/>
  <c r="AA37" i="10" s="1"/>
  <c r="AW13" i="11"/>
  <c r="Z14" i="10" s="1"/>
  <c r="Z37" i="10" s="1"/>
  <c r="AV13" i="11"/>
  <c r="Y14" i="10" s="1"/>
  <c r="Y37" i="10" s="1"/>
  <c r="AU13" i="11"/>
  <c r="X14" i="10" s="1"/>
  <c r="X37" i="10" s="1"/>
  <c r="AT13" i="11"/>
  <c r="AS13" i="11"/>
  <c r="AR13" i="11"/>
  <c r="AQ13" i="11"/>
  <c r="AP13" i="11"/>
  <c r="AO13" i="11"/>
  <c r="AN13" i="11"/>
  <c r="AM13" i="11"/>
  <c r="AL13" i="11"/>
  <c r="AK13" i="11"/>
  <c r="AJ13" i="11"/>
  <c r="AI13" i="11"/>
  <c r="AF13" i="11"/>
  <c r="BM13" i="11" s="1"/>
  <c r="BJ12" i="11"/>
  <c r="AM13" i="10" s="1"/>
  <c r="BI12" i="11"/>
  <c r="AL13" i="10" s="1"/>
  <c r="BH12" i="11"/>
  <c r="AK13" i="10" s="1"/>
  <c r="BG12" i="11"/>
  <c r="AJ13" i="10" s="1"/>
  <c r="AJ36" i="10" s="1"/>
  <c r="AJ168" i="10" s="1"/>
  <c r="AJ198" i="10" s="1"/>
  <c r="S18" i="16" s="1"/>
  <c r="BF12" i="11"/>
  <c r="AI13" i="10" s="1"/>
  <c r="BE12" i="11"/>
  <c r="AH13" i="10" s="1"/>
  <c r="BD12" i="11"/>
  <c r="AG13" i="10" s="1"/>
  <c r="AG36" i="10" s="1"/>
  <c r="AG168" i="10" s="1"/>
  <c r="AG198" i="10" s="1"/>
  <c r="P18" i="16" s="1"/>
  <c r="BC12" i="11"/>
  <c r="AF13" i="10" s="1"/>
  <c r="AF36" i="10" s="1"/>
  <c r="AF168" i="10" s="1"/>
  <c r="AF198" i="10" s="1"/>
  <c r="O18" i="16" s="1"/>
  <c r="BB12" i="11"/>
  <c r="AE13" i="10" s="1"/>
  <c r="BA12" i="11"/>
  <c r="AD13" i="10" s="1"/>
  <c r="AD36" i="10" s="1"/>
  <c r="AD168" i="10" s="1"/>
  <c r="AD198" i="10" s="1"/>
  <c r="M18" i="16" s="1"/>
  <c r="AZ12" i="11"/>
  <c r="AC13" i="10" s="1"/>
  <c r="AC36" i="10" s="1"/>
  <c r="AC168" i="10" s="1"/>
  <c r="AC198" i="10" s="1"/>
  <c r="L18" i="16" s="1"/>
  <c r="AY12" i="11"/>
  <c r="AB13" i="10" s="1"/>
  <c r="AB36" i="10" s="1"/>
  <c r="AB168" i="10" s="1"/>
  <c r="AB198" i="10" s="1"/>
  <c r="K18" i="16" s="1"/>
  <c r="AX12" i="11"/>
  <c r="AA13" i="10" s="1"/>
  <c r="AA36" i="10" s="1"/>
  <c r="AA168" i="10" s="1"/>
  <c r="AA198" i="10" s="1"/>
  <c r="J18" i="16" s="1"/>
  <c r="AW12" i="11"/>
  <c r="Z13" i="10" s="1"/>
  <c r="Z36" i="10" s="1"/>
  <c r="Z168" i="10" s="1"/>
  <c r="Z198" i="10" s="1"/>
  <c r="I18" i="16" s="1"/>
  <c r="AV12" i="11"/>
  <c r="Y13" i="10" s="1"/>
  <c r="Y36" i="10" s="1"/>
  <c r="Y168" i="10" s="1"/>
  <c r="Y198" i="10" s="1"/>
  <c r="H18" i="16" s="1"/>
  <c r="AU12" i="11"/>
  <c r="X13" i="10" s="1"/>
  <c r="X36" i="10" s="1"/>
  <c r="X168" i="10" s="1"/>
  <c r="X198" i="10" s="1"/>
  <c r="G18" i="16" s="1"/>
  <c r="AT12" i="11"/>
  <c r="AS12" i="11"/>
  <c r="AR12" i="11"/>
  <c r="AQ12" i="11"/>
  <c r="AP12" i="11"/>
  <c r="AO12" i="11"/>
  <c r="AN12" i="11"/>
  <c r="AM12" i="11"/>
  <c r="AL12" i="11"/>
  <c r="AK12" i="11"/>
  <c r="AJ12" i="11"/>
  <c r="AI12" i="11"/>
  <c r="AF12" i="11"/>
  <c r="BM12" i="11" s="1"/>
  <c r="BJ11" i="11"/>
  <c r="AM12" i="10" s="1"/>
  <c r="BI11" i="11"/>
  <c r="AL12" i="10" s="1"/>
  <c r="AL35" i="10" s="1"/>
  <c r="AL167" i="10" s="1"/>
  <c r="AL197" i="10" s="1"/>
  <c r="U17" i="16" s="1"/>
  <c r="BH11" i="11"/>
  <c r="AK12" i="10" s="1"/>
  <c r="AK35" i="10" s="1"/>
  <c r="AK167" i="10" s="1"/>
  <c r="AK197" i="10" s="1"/>
  <c r="T17" i="16" s="1"/>
  <c r="BG11" i="11"/>
  <c r="AJ12" i="10" s="1"/>
  <c r="BF11" i="11"/>
  <c r="AI12" i="10" s="1"/>
  <c r="BE11" i="11"/>
  <c r="AH12" i="10" s="1"/>
  <c r="BD11" i="11"/>
  <c r="AG12" i="10" s="1"/>
  <c r="BC11" i="11"/>
  <c r="AF12" i="10" s="1"/>
  <c r="AF35" i="10" s="1"/>
  <c r="AF167" i="10" s="1"/>
  <c r="AF197" i="10" s="1"/>
  <c r="O17" i="16" s="1"/>
  <c r="BB11" i="11"/>
  <c r="AE12" i="10" s="1"/>
  <c r="BA11" i="11"/>
  <c r="AD12" i="10" s="1"/>
  <c r="AD35" i="10" s="1"/>
  <c r="AD167" i="10" s="1"/>
  <c r="AD197" i="10" s="1"/>
  <c r="M17" i="16" s="1"/>
  <c r="AZ11" i="11"/>
  <c r="AC12" i="10" s="1"/>
  <c r="AC35" i="10" s="1"/>
  <c r="AC167" i="10" s="1"/>
  <c r="AC197" i="10" s="1"/>
  <c r="L17" i="16" s="1"/>
  <c r="AY11" i="11"/>
  <c r="AB12" i="10" s="1"/>
  <c r="AB35" i="10" s="1"/>
  <c r="AB167" i="10" s="1"/>
  <c r="AB197" i="10" s="1"/>
  <c r="K17" i="16" s="1"/>
  <c r="AX11" i="11"/>
  <c r="AA12" i="10" s="1"/>
  <c r="AA35" i="10" s="1"/>
  <c r="AA167" i="10" s="1"/>
  <c r="AA197" i="10" s="1"/>
  <c r="J17" i="16" s="1"/>
  <c r="AW11" i="11"/>
  <c r="Z12" i="10" s="1"/>
  <c r="Z35" i="10" s="1"/>
  <c r="Z167" i="10" s="1"/>
  <c r="Z197" i="10" s="1"/>
  <c r="I17" i="16" s="1"/>
  <c r="AV11" i="11"/>
  <c r="Y12" i="10" s="1"/>
  <c r="Y35" i="10" s="1"/>
  <c r="Y167" i="10" s="1"/>
  <c r="Y197" i="10" s="1"/>
  <c r="H17" i="16" s="1"/>
  <c r="AU11" i="11"/>
  <c r="X12" i="10" s="1"/>
  <c r="X35" i="10" s="1"/>
  <c r="X167" i="10" s="1"/>
  <c r="X197" i="10" s="1"/>
  <c r="G17" i="16" s="1"/>
  <c r="AT11" i="11"/>
  <c r="AS11" i="11"/>
  <c r="AR11" i="11"/>
  <c r="AQ11" i="11"/>
  <c r="AP11" i="11"/>
  <c r="AO11" i="11"/>
  <c r="AN11" i="11"/>
  <c r="AM11" i="11"/>
  <c r="AL11" i="11"/>
  <c r="AK11" i="11"/>
  <c r="AJ11" i="11"/>
  <c r="AI11" i="11"/>
  <c r="AF11" i="11"/>
  <c r="BM11" i="11" s="1"/>
  <c r="BJ10" i="11"/>
  <c r="AM11" i="10" s="1"/>
  <c r="BI10" i="11"/>
  <c r="AL11" i="10" s="1"/>
  <c r="BH10" i="11"/>
  <c r="AK11" i="10" s="1"/>
  <c r="AK34" i="10" s="1"/>
  <c r="AK166" i="10" s="1"/>
  <c r="AK196" i="10" s="1"/>
  <c r="T16" i="16" s="1"/>
  <c r="BG10" i="11"/>
  <c r="AJ11" i="10" s="1"/>
  <c r="AJ34" i="10" s="1"/>
  <c r="AJ166" i="10" s="1"/>
  <c r="AJ196" i="10" s="1"/>
  <c r="S16" i="16" s="1"/>
  <c r="BF10" i="11"/>
  <c r="AI11" i="10" s="1"/>
  <c r="BE10" i="11"/>
  <c r="AH11" i="10" s="1"/>
  <c r="AH34" i="10" s="1"/>
  <c r="AH166" i="10" s="1"/>
  <c r="AH196" i="10" s="1"/>
  <c r="Q16" i="16" s="1"/>
  <c r="BD10" i="11"/>
  <c r="AG11" i="10" s="1"/>
  <c r="BC10" i="11"/>
  <c r="AF11" i="10" s="1"/>
  <c r="AF34" i="10" s="1"/>
  <c r="AF166" i="10" s="1"/>
  <c r="AF196" i="10" s="1"/>
  <c r="O16" i="16" s="1"/>
  <c r="BB10" i="11"/>
  <c r="AE11" i="10" s="1"/>
  <c r="BA10" i="11"/>
  <c r="AD11" i="10" s="1"/>
  <c r="AD34" i="10" s="1"/>
  <c r="AD166" i="10" s="1"/>
  <c r="AD196" i="10" s="1"/>
  <c r="M16" i="16" s="1"/>
  <c r="AZ10" i="11"/>
  <c r="AC11" i="10" s="1"/>
  <c r="AC34" i="10" s="1"/>
  <c r="AC166" i="10" s="1"/>
  <c r="AC196" i="10" s="1"/>
  <c r="L16" i="16" s="1"/>
  <c r="AY10" i="11"/>
  <c r="AB11" i="10" s="1"/>
  <c r="AB34" i="10" s="1"/>
  <c r="AB166" i="10" s="1"/>
  <c r="AB196" i="10" s="1"/>
  <c r="K16" i="16" s="1"/>
  <c r="AX10" i="11"/>
  <c r="AA11" i="10" s="1"/>
  <c r="AA34" i="10" s="1"/>
  <c r="AA166" i="10" s="1"/>
  <c r="AA196" i="10" s="1"/>
  <c r="J16" i="16" s="1"/>
  <c r="AW10" i="11"/>
  <c r="Z11" i="10" s="1"/>
  <c r="Z34" i="10" s="1"/>
  <c r="Z166" i="10" s="1"/>
  <c r="Z196" i="10" s="1"/>
  <c r="I16" i="16" s="1"/>
  <c r="AV10" i="11"/>
  <c r="Y11" i="10" s="1"/>
  <c r="Y34" i="10" s="1"/>
  <c r="Y166" i="10" s="1"/>
  <c r="Y196" i="10" s="1"/>
  <c r="H16" i="16" s="1"/>
  <c r="AU10" i="11"/>
  <c r="X11" i="10" s="1"/>
  <c r="X34" i="10" s="1"/>
  <c r="X166" i="10" s="1"/>
  <c r="X196" i="10" s="1"/>
  <c r="G16" i="16" s="1"/>
  <c r="AT10" i="11"/>
  <c r="AS10" i="11"/>
  <c r="AR10" i="11"/>
  <c r="AQ10" i="11"/>
  <c r="AP10" i="11"/>
  <c r="AO10" i="11"/>
  <c r="AN10" i="11"/>
  <c r="AM10" i="11"/>
  <c r="AL10" i="11"/>
  <c r="AK10" i="11"/>
  <c r="AJ10" i="11"/>
  <c r="AI10" i="11"/>
  <c r="AF10" i="11"/>
  <c r="BM10" i="11" s="1"/>
  <c r="BJ9" i="11"/>
  <c r="AM10" i="10" s="1"/>
  <c r="BI9" i="11"/>
  <c r="AL10" i="10" s="1"/>
  <c r="BH9" i="11"/>
  <c r="AK10" i="10" s="1"/>
  <c r="AK33" i="10" s="1"/>
  <c r="AK165" i="10" s="1"/>
  <c r="AK195" i="10" s="1"/>
  <c r="T15" i="16" s="1"/>
  <c r="BG9" i="11"/>
  <c r="AJ10" i="10" s="1"/>
  <c r="AJ33" i="10" s="1"/>
  <c r="AJ165" i="10" s="1"/>
  <c r="AJ195" i="10" s="1"/>
  <c r="S15" i="16" s="1"/>
  <c r="BF9" i="11"/>
  <c r="AI10" i="10" s="1"/>
  <c r="AI33" i="10" s="1"/>
  <c r="AI165" i="10" s="1"/>
  <c r="AI195" i="10" s="1"/>
  <c r="R15" i="16" s="1"/>
  <c r="BE9" i="11"/>
  <c r="AH10" i="10" s="1"/>
  <c r="BD9" i="11"/>
  <c r="AG10" i="10" s="1"/>
  <c r="BC9" i="11"/>
  <c r="AF10" i="10" s="1"/>
  <c r="BB9" i="11"/>
  <c r="AE10" i="10" s="1"/>
  <c r="BA9" i="11"/>
  <c r="AD10" i="10" s="1"/>
  <c r="AD33" i="10" s="1"/>
  <c r="AD165" i="10" s="1"/>
  <c r="AD195" i="10" s="1"/>
  <c r="M15" i="16" s="1"/>
  <c r="AZ9" i="11"/>
  <c r="AC10" i="10" s="1"/>
  <c r="AC33" i="10" s="1"/>
  <c r="AC165" i="10" s="1"/>
  <c r="AC195" i="10" s="1"/>
  <c r="L15" i="16" s="1"/>
  <c r="AY9" i="11"/>
  <c r="AB10" i="10" s="1"/>
  <c r="AB33" i="10" s="1"/>
  <c r="AB165" i="10" s="1"/>
  <c r="AB195" i="10" s="1"/>
  <c r="K15" i="16" s="1"/>
  <c r="AX9" i="11"/>
  <c r="AA10" i="10" s="1"/>
  <c r="AA33" i="10" s="1"/>
  <c r="AA165" i="10" s="1"/>
  <c r="AA195" i="10" s="1"/>
  <c r="J15" i="16" s="1"/>
  <c r="AW9" i="11"/>
  <c r="Z10" i="10" s="1"/>
  <c r="Z33" i="10" s="1"/>
  <c r="Z165" i="10" s="1"/>
  <c r="Z195" i="10" s="1"/>
  <c r="I15" i="16" s="1"/>
  <c r="AV9" i="11"/>
  <c r="Y10" i="10" s="1"/>
  <c r="Y33" i="10" s="1"/>
  <c r="Y165" i="10" s="1"/>
  <c r="Y195" i="10" s="1"/>
  <c r="H15" i="16" s="1"/>
  <c r="AU9" i="11"/>
  <c r="X10" i="10" s="1"/>
  <c r="X33" i="10" s="1"/>
  <c r="X165" i="10" s="1"/>
  <c r="X195" i="10" s="1"/>
  <c r="G15" i="16" s="1"/>
  <c r="AT9" i="11"/>
  <c r="AS9" i="11"/>
  <c r="AR9" i="11"/>
  <c r="AQ9" i="11"/>
  <c r="AP9" i="11"/>
  <c r="AO9" i="11"/>
  <c r="AN9" i="11"/>
  <c r="AM9" i="11"/>
  <c r="AL9" i="11"/>
  <c r="AK9" i="11"/>
  <c r="AJ9" i="11"/>
  <c r="AI9" i="11"/>
  <c r="AF9" i="11"/>
  <c r="BM9" i="11" s="1"/>
  <c r="BJ8" i="11"/>
  <c r="AM9" i="10" s="1"/>
  <c r="BI8" i="11"/>
  <c r="AL9" i="10" s="1"/>
  <c r="BH8" i="11"/>
  <c r="AK9" i="10" s="1"/>
  <c r="BG8" i="11"/>
  <c r="AJ9" i="10" s="1"/>
  <c r="BF8" i="11"/>
  <c r="AI9" i="10" s="1"/>
  <c r="AI32" i="10" s="1"/>
  <c r="AI164" i="10" s="1"/>
  <c r="AI194" i="10" s="1"/>
  <c r="R14" i="16" s="1"/>
  <c r="BE8" i="11"/>
  <c r="AH9" i="10" s="1"/>
  <c r="AH32" i="10" s="1"/>
  <c r="AH164" i="10" s="1"/>
  <c r="AH194" i="10" s="1"/>
  <c r="Q14" i="16" s="1"/>
  <c r="BD8" i="11"/>
  <c r="AG9" i="10" s="1"/>
  <c r="BC8" i="11"/>
  <c r="AF9" i="10" s="1"/>
  <c r="AF32" i="10" s="1"/>
  <c r="AF164" i="10" s="1"/>
  <c r="AF194" i="10" s="1"/>
  <c r="O14" i="16" s="1"/>
  <c r="BB8" i="11"/>
  <c r="AE9" i="10" s="1"/>
  <c r="BA8" i="11"/>
  <c r="AD9" i="10" s="1"/>
  <c r="AD32" i="10" s="1"/>
  <c r="AD164" i="10" s="1"/>
  <c r="AD194" i="10" s="1"/>
  <c r="M14" i="16" s="1"/>
  <c r="AZ8" i="11"/>
  <c r="AC9" i="10" s="1"/>
  <c r="AC32" i="10" s="1"/>
  <c r="AC164" i="10" s="1"/>
  <c r="AC194" i="10" s="1"/>
  <c r="L14" i="16" s="1"/>
  <c r="AY8" i="11"/>
  <c r="AB9" i="10" s="1"/>
  <c r="AB32" i="10" s="1"/>
  <c r="AB164" i="10" s="1"/>
  <c r="AB194" i="10" s="1"/>
  <c r="K14" i="16" s="1"/>
  <c r="AX8" i="11"/>
  <c r="AA9" i="10" s="1"/>
  <c r="AA32" i="10" s="1"/>
  <c r="AA164" i="10" s="1"/>
  <c r="AA194" i="10" s="1"/>
  <c r="J14" i="16" s="1"/>
  <c r="AW8" i="11"/>
  <c r="Z9" i="10" s="1"/>
  <c r="Z32" i="10" s="1"/>
  <c r="Z164" i="10" s="1"/>
  <c r="Z194" i="10" s="1"/>
  <c r="I14" i="16" s="1"/>
  <c r="AV8" i="11"/>
  <c r="Y9" i="10" s="1"/>
  <c r="Y32" i="10" s="1"/>
  <c r="Y164" i="10" s="1"/>
  <c r="Y194" i="10" s="1"/>
  <c r="H14" i="16" s="1"/>
  <c r="AU8" i="11"/>
  <c r="X9" i="10" s="1"/>
  <c r="X32" i="10" s="1"/>
  <c r="X164" i="10" s="1"/>
  <c r="X194" i="10" s="1"/>
  <c r="G14" i="16" s="1"/>
  <c r="AT8" i="11"/>
  <c r="AS8" i="11"/>
  <c r="AR8" i="11"/>
  <c r="AQ8" i="11"/>
  <c r="AP8" i="11"/>
  <c r="AO8" i="11"/>
  <c r="AN8" i="11"/>
  <c r="AM8" i="11"/>
  <c r="AL8" i="11"/>
  <c r="AK8" i="11"/>
  <c r="AJ8" i="11"/>
  <c r="AI8" i="11"/>
  <c r="AF8" i="11"/>
  <c r="BM8" i="11" s="1"/>
  <c r="BJ7" i="11"/>
  <c r="AM8" i="10" s="1"/>
  <c r="BI7" i="11"/>
  <c r="AL8" i="10" s="1"/>
  <c r="BH7" i="11"/>
  <c r="AK8" i="10" s="1"/>
  <c r="BG7" i="11"/>
  <c r="BF7" i="11"/>
  <c r="AI8" i="10" s="1"/>
  <c r="BE7" i="11"/>
  <c r="AH8" i="10" s="1"/>
  <c r="BD7" i="11"/>
  <c r="AG8" i="10" s="1"/>
  <c r="BC7" i="11"/>
  <c r="AF8" i="10" s="1"/>
  <c r="BB7" i="11"/>
  <c r="AE8" i="10" s="1"/>
  <c r="BA7" i="11"/>
  <c r="AD8" i="10" s="1"/>
  <c r="AZ7" i="11"/>
  <c r="AC8" i="10" s="1"/>
  <c r="AY7" i="11"/>
  <c r="AB8" i="10" s="1"/>
  <c r="AX7" i="11"/>
  <c r="AA8" i="10" s="1"/>
  <c r="AW7" i="11"/>
  <c r="Z8" i="10" s="1"/>
  <c r="AV7" i="11"/>
  <c r="Y8" i="10" s="1"/>
  <c r="Y31" i="10" s="1"/>
  <c r="AU7" i="11"/>
  <c r="X8" i="10" s="1"/>
  <c r="X31" i="10" s="1"/>
  <c r="AT7" i="11"/>
  <c r="AS7" i="11"/>
  <c r="AR7" i="11"/>
  <c r="AQ7" i="11"/>
  <c r="AP7" i="11"/>
  <c r="AO7" i="11"/>
  <c r="AN7" i="11"/>
  <c r="AM7" i="11"/>
  <c r="AL7" i="11"/>
  <c r="AK7" i="11"/>
  <c r="AJ7" i="11"/>
  <c r="AI7" i="11"/>
  <c r="AF7" i="11"/>
  <c r="BM7" i="11" s="1"/>
  <c r="BJ6" i="11"/>
  <c r="AM7" i="10" s="1"/>
  <c r="BI6" i="11"/>
  <c r="AL7" i="10" s="1"/>
  <c r="AL30" i="10" s="1"/>
  <c r="AL162" i="10" s="1"/>
  <c r="AL192" i="10" s="1"/>
  <c r="U12" i="16" s="1"/>
  <c r="BH6" i="11"/>
  <c r="AK7" i="10" s="1"/>
  <c r="AK30" i="10" s="1"/>
  <c r="AK162" i="10" s="1"/>
  <c r="AK192" i="10" s="1"/>
  <c r="T12" i="16" s="1"/>
  <c r="BG6" i="11"/>
  <c r="AJ7" i="10" s="1"/>
  <c r="AJ30" i="10" s="1"/>
  <c r="AJ162" i="10" s="1"/>
  <c r="AJ192" i="10" s="1"/>
  <c r="S12" i="16" s="1"/>
  <c r="BF6" i="11"/>
  <c r="AI7" i="10" s="1"/>
  <c r="BE6" i="11"/>
  <c r="AH7" i="10" s="1"/>
  <c r="BD6" i="11"/>
  <c r="AG7" i="10" s="1"/>
  <c r="AG30" i="10" s="1"/>
  <c r="AG162" i="10" s="1"/>
  <c r="AG192" i="10" s="1"/>
  <c r="P12" i="16" s="1"/>
  <c r="BC6" i="11"/>
  <c r="AF7" i="10" s="1"/>
  <c r="BB6" i="11"/>
  <c r="AE7" i="10" s="1"/>
  <c r="AE30" i="10" s="1"/>
  <c r="AE162" i="10" s="1"/>
  <c r="BA6" i="11"/>
  <c r="AD7" i="10" s="1"/>
  <c r="AD30" i="10" s="1"/>
  <c r="AZ6" i="11"/>
  <c r="AC7" i="10" s="1"/>
  <c r="AC30" i="10" s="1"/>
  <c r="AY6" i="11"/>
  <c r="AB7" i="10" s="1"/>
  <c r="AB30" i="10" s="1"/>
  <c r="AB162" i="10" s="1"/>
  <c r="AX6" i="11"/>
  <c r="AA7" i="10" s="1"/>
  <c r="AA30" i="10" s="1"/>
  <c r="AW6" i="11"/>
  <c r="Z7" i="10" s="1"/>
  <c r="Z30" i="10" s="1"/>
  <c r="AV6" i="11"/>
  <c r="Y7" i="10" s="1"/>
  <c r="Y30" i="10" s="1"/>
  <c r="AU6" i="11"/>
  <c r="X7" i="10" s="1"/>
  <c r="X30" i="10" s="1"/>
  <c r="X162" i="10" s="1"/>
  <c r="AT6" i="11"/>
  <c r="AS6" i="11"/>
  <c r="AR6" i="11"/>
  <c r="AQ6" i="11"/>
  <c r="AP6" i="11"/>
  <c r="AO6" i="11"/>
  <c r="AN6" i="11"/>
  <c r="AM6" i="11"/>
  <c r="AL6" i="11"/>
  <c r="AK6" i="11"/>
  <c r="AJ6" i="11"/>
  <c r="AI6" i="11"/>
  <c r="AF6" i="11"/>
  <c r="BM6" i="11" s="1"/>
  <c r="BJ5" i="11"/>
  <c r="AM6" i="10" s="1"/>
  <c r="BI5" i="11"/>
  <c r="AL6" i="10" s="1"/>
  <c r="BH5" i="11"/>
  <c r="AK6" i="10" s="1"/>
  <c r="AK29" i="10" s="1"/>
  <c r="BG5" i="11"/>
  <c r="AJ6" i="10" s="1"/>
  <c r="AJ29" i="10" s="1"/>
  <c r="BF5" i="11"/>
  <c r="AI6" i="10" s="1"/>
  <c r="BE5" i="11"/>
  <c r="AH6" i="10" s="1"/>
  <c r="BD5" i="11"/>
  <c r="AG6" i="10" s="1"/>
  <c r="AG29" i="10" s="1"/>
  <c r="AG161" i="10" s="1"/>
  <c r="AG191" i="10" s="1"/>
  <c r="P11" i="16" s="1"/>
  <c r="BC5" i="11"/>
  <c r="AF6" i="10" s="1"/>
  <c r="AF29" i="10" s="1"/>
  <c r="AF161" i="10" s="1"/>
  <c r="AF191" i="10" s="1"/>
  <c r="O11" i="16" s="1"/>
  <c r="BB5" i="11"/>
  <c r="AE6" i="10" s="1"/>
  <c r="BA5" i="11"/>
  <c r="AD6" i="10" s="1"/>
  <c r="AD29" i="10" s="1"/>
  <c r="AZ5" i="11"/>
  <c r="AC6" i="10" s="1"/>
  <c r="AC29" i="10" s="1"/>
  <c r="AY5" i="11"/>
  <c r="AB6" i="10" s="1"/>
  <c r="AB29" i="10" s="1"/>
  <c r="AX5" i="11"/>
  <c r="AA6" i="10" s="1"/>
  <c r="AA29" i="10" s="1"/>
  <c r="AW5" i="11"/>
  <c r="Z6" i="10" s="1"/>
  <c r="Z29" i="10" s="1"/>
  <c r="AV5" i="11"/>
  <c r="Y6" i="10" s="1"/>
  <c r="Y29" i="10" s="1"/>
  <c r="AU5" i="11"/>
  <c r="X6" i="10" s="1"/>
  <c r="X29" i="10" s="1"/>
  <c r="AT5" i="11"/>
  <c r="AS5" i="11"/>
  <c r="AR5" i="11"/>
  <c r="AQ5" i="11"/>
  <c r="AP5" i="11"/>
  <c r="AO5" i="11"/>
  <c r="AN5" i="11"/>
  <c r="AM5" i="11"/>
  <c r="AL5" i="11"/>
  <c r="AK5" i="11"/>
  <c r="AJ5" i="11"/>
  <c r="AI5" i="11"/>
  <c r="AF5" i="11"/>
  <c r="BM5" i="11" s="1"/>
  <c r="BM4" i="11"/>
  <c r="BJ4" i="11"/>
  <c r="AM5" i="10" s="1"/>
  <c r="BI4" i="11"/>
  <c r="AL5" i="10" s="1"/>
  <c r="BH4" i="11"/>
  <c r="AK5" i="10" s="1"/>
  <c r="BG4" i="11"/>
  <c r="AJ5" i="10" s="1"/>
  <c r="AJ28" i="10" s="1"/>
  <c r="AJ160" i="10" s="1"/>
  <c r="AJ190" i="10" s="1"/>
  <c r="S10" i="16" s="1"/>
  <c r="BF4" i="11"/>
  <c r="AI5" i="10" s="1"/>
  <c r="BE4" i="11"/>
  <c r="AH5" i="10" s="1"/>
  <c r="BD4" i="11"/>
  <c r="AG5" i="10" s="1"/>
  <c r="AG28" i="10" s="1"/>
  <c r="AG160" i="10" s="1"/>
  <c r="AG190" i="10" s="1"/>
  <c r="P10" i="16" s="1"/>
  <c r="BC4" i="11"/>
  <c r="AF5" i="10" s="1"/>
  <c r="BB4" i="11"/>
  <c r="AE5" i="10" s="1"/>
  <c r="BA4" i="11"/>
  <c r="AD5" i="10" s="1"/>
  <c r="AD28" i="10" s="1"/>
  <c r="AD160" i="10" s="1"/>
  <c r="AD190" i="10" s="1"/>
  <c r="M10" i="16" s="1"/>
  <c r="AZ4" i="11"/>
  <c r="AC5" i="10" s="1"/>
  <c r="AC28" i="10" s="1"/>
  <c r="AC160" i="10" s="1"/>
  <c r="AC190" i="10" s="1"/>
  <c r="L10" i="16" s="1"/>
  <c r="AY4" i="11"/>
  <c r="AB5" i="10" s="1"/>
  <c r="AB28" i="10" s="1"/>
  <c r="AB160" i="10" s="1"/>
  <c r="AB190" i="10" s="1"/>
  <c r="K10" i="16" s="1"/>
  <c r="AX4" i="11"/>
  <c r="AA5" i="10" s="1"/>
  <c r="AA28" i="10" s="1"/>
  <c r="AA160" i="10" s="1"/>
  <c r="AA190" i="10" s="1"/>
  <c r="J10" i="16" s="1"/>
  <c r="AW4" i="11"/>
  <c r="Z5" i="10" s="1"/>
  <c r="Z28" i="10" s="1"/>
  <c r="Z160" i="10" s="1"/>
  <c r="Z190" i="10" s="1"/>
  <c r="I10" i="16" s="1"/>
  <c r="AV4" i="11"/>
  <c r="Y5" i="10" s="1"/>
  <c r="Y28" i="10" s="1"/>
  <c r="Y160" i="10" s="1"/>
  <c r="Y190" i="10" s="1"/>
  <c r="H10" i="16" s="1"/>
  <c r="AU4" i="11"/>
  <c r="X5" i="10" s="1"/>
  <c r="X28" i="10" s="1"/>
  <c r="X160" i="10" s="1"/>
  <c r="X190" i="10" s="1"/>
  <c r="G10" i="16" s="1"/>
  <c r="AT4" i="11"/>
  <c r="AS4" i="11"/>
  <c r="AR4" i="11"/>
  <c r="AQ4" i="11"/>
  <c r="AP4" i="11"/>
  <c r="AO4" i="11"/>
  <c r="AN4" i="11"/>
  <c r="AM4" i="11"/>
  <c r="AL4" i="11"/>
  <c r="AK4" i="11"/>
  <c r="AJ4" i="11"/>
  <c r="AI4" i="11"/>
  <c r="BM3" i="11"/>
  <c r="BJ3" i="11"/>
  <c r="AM4" i="10" s="1"/>
  <c r="BI3" i="11"/>
  <c r="AL4" i="10" s="1"/>
  <c r="AL27" i="10" s="1"/>
  <c r="AL159" i="10" s="1"/>
  <c r="AL189" i="10" s="1"/>
  <c r="U9" i="16" s="1"/>
  <c r="BH3" i="11"/>
  <c r="AK4" i="10" s="1"/>
  <c r="BG3" i="11"/>
  <c r="AJ4" i="10" s="1"/>
  <c r="BF3" i="11"/>
  <c r="AI4" i="10" s="1"/>
  <c r="AI27" i="10" s="1"/>
  <c r="AI159" i="10" s="1"/>
  <c r="AI189" i="10" s="1"/>
  <c r="R9" i="16" s="1"/>
  <c r="BE3" i="11"/>
  <c r="AH4" i="10" s="1"/>
  <c r="BD3" i="11"/>
  <c r="AG4" i="10" s="1"/>
  <c r="BC3" i="11"/>
  <c r="AF4" i="10" s="1"/>
  <c r="AF27" i="10" s="1"/>
  <c r="AF159" i="10" s="1"/>
  <c r="AF189" i="10" s="1"/>
  <c r="O9" i="16" s="1"/>
  <c r="BB3" i="11"/>
  <c r="AE4" i="10" s="1"/>
  <c r="BA3" i="11"/>
  <c r="AD4" i="10" s="1"/>
  <c r="AD27" i="10" s="1"/>
  <c r="AD159" i="10" s="1"/>
  <c r="AD189" i="10" s="1"/>
  <c r="M9" i="16" s="1"/>
  <c r="AZ3" i="11"/>
  <c r="AC4" i="10" s="1"/>
  <c r="AC27" i="10" s="1"/>
  <c r="AC159" i="10" s="1"/>
  <c r="AC189" i="10" s="1"/>
  <c r="L9" i="16" s="1"/>
  <c r="AY3" i="11"/>
  <c r="AB4" i="10" s="1"/>
  <c r="AB27" i="10" s="1"/>
  <c r="AB159" i="10" s="1"/>
  <c r="AB189" i="10" s="1"/>
  <c r="K9" i="16" s="1"/>
  <c r="AX3" i="11"/>
  <c r="AA4" i="10" s="1"/>
  <c r="AA27" i="10" s="1"/>
  <c r="AA159" i="10" s="1"/>
  <c r="AA189" i="10" s="1"/>
  <c r="J9" i="16" s="1"/>
  <c r="AW3" i="11"/>
  <c r="Z4" i="10" s="1"/>
  <c r="Z27" i="10" s="1"/>
  <c r="Z159" i="10" s="1"/>
  <c r="Z189" i="10" s="1"/>
  <c r="I9" i="16" s="1"/>
  <c r="AV3" i="11"/>
  <c r="Y4" i="10" s="1"/>
  <c r="Y27" i="10" s="1"/>
  <c r="Y159" i="10" s="1"/>
  <c r="Y189" i="10" s="1"/>
  <c r="H9" i="16" s="1"/>
  <c r="AU3" i="11"/>
  <c r="X4" i="10" s="1"/>
  <c r="X27" i="10" s="1"/>
  <c r="X159" i="10" s="1"/>
  <c r="X189" i="10" s="1"/>
  <c r="G9" i="16" s="1"/>
  <c r="AT3" i="11"/>
  <c r="AS3" i="11"/>
  <c r="AR3" i="11"/>
  <c r="AQ3" i="11"/>
  <c r="AP3" i="11"/>
  <c r="AO3" i="11"/>
  <c r="AN3" i="11"/>
  <c r="AM3" i="11"/>
  <c r="AL3" i="11"/>
  <c r="AK3" i="11"/>
  <c r="AJ3" i="11"/>
  <c r="AI3" i="11"/>
  <c r="A3" i="1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BM2" i="11"/>
  <c r="BJ2" i="11"/>
  <c r="AM3" i="10" s="1"/>
  <c r="BI2" i="11"/>
  <c r="AL3" i="10" s="1"/>
  <c r="BH2" i="11"/>
  <c r="BG2" i="11"/>
  <c r="BF2" i="11"/>
  <c r="BE2" i="11"/>
  <c r="BD2" i="11"/>
  <c r="BC2" i="11"/>
  <c r="BB2" i="11"/>
  <c r="AE3" i="10" s="1"/>
  <c r="BA2" i="11"/>
  <c r="AZ2" i="11"/>
  <c r="AY2" i="11"/>
  <c r="AX2" i="11"/>
  <c r="AW2" i="11"/>
  <c r="Z3" i="10" s="1"/>
  <c r="Z26" i="10" s="1"/>
  <c r="Z158" i="10" s="1"/>
  <c r="Z188" i="10" s="1"/>
  <c r="I8" i="16" s="1"/>
  <c r="AV2" i="11"/>
  <c r="AU2" i="11"/>
  <c r="AT2" i="11"/>
  <c r="AS2" i="11"/>
  <c r="AR2" i="11"/>
  <c r="AQ2" i="11"/>
  <c r="AP2" i="11"/>
  <c r="AO2" i="11"/>
  <c r="AN2" i="11"/>
  <c r="AM2" i="11"/>
  <c r="AL2" i="11"/>
  <c r="AK2" i="11"/>
  <c r="AJ2" i="11"/>
  <c r="AI2" i="11"/>
  <c r="AG2" i="11"/>
  <c r="AK1" i="11"/>
  <c r="AL1" i="11" s="1"/>
  <c r="AM1" i="11" s="1"/>
  <c r="AN1" i="11" s="1"/>
  <c r="AO1" i="11" s="1"/>
  <c r="AP1" i="11" s="1"/>
  <c r="AQ1" i="11" s="1"/>
  <c r="AR1" i="11" s="1"/>
  <c r="AS1" i="11" s="1"/>
  <c r="AT1" i="11" s="1"/>
  <c r="AU1" i="11" s="1"/>
  <c r="AV1" i="11" s="1"/>
  <c r="AW1" i="11" s="1"/>
  <c r="AX1" i="11" s="1"/>
  <c r="AY1" i="11" s="1"/>
  <c r="AZ1" i="11" s="1"/>
  <c r="BA1" i="11" s="1"/>
  <c r="BB1" i="11" s="1"/>
  <c r="BC1" i="11" s="1"/>
  <c r="BD1" i="11" s="1"/>
  <c r="BE1" i="11" s="1"/>
  <c r="BF1" i="11" s="1"/>
  <c r="BG1" i="11" s="1"/>
  <c r="BH1" i="11" s="1"/>
  <c r="BI1" i="11" s="1"/>
  <c r="BJ1" i="11" s="1"/>
  <c r="AJ1" i="1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D2" i="10"/>
  <c r="AD95" i="10" s="1"/>
  <c r="V175" i="10"/>
  <c r="R175" i="10" s="1"/>
  <c r="V174" i="10"/>
  <c r="R174" i="10" s="1"/>
  <c r="V173" i="10"/>
  <c r="R173" i="10" s="1"/>
  <c r="V172" i="10"/>
  <c r="R172" i="10" s="1"/>
  <c r="V171" i="10"/>
  <c r="R171" i="10" s="1"/>
  <c r="V170" i="10"/>
  <c r="R170" i="10" s="1"/>
  <c r="V169" i="10"/>
  <c r="R169" i="10" s="1"/>
  <c r="V168" i="10"/>
  <c r="R168" i="10" s="1"/>
  <c r="V167" i="10"/>
  <c r="R167" i="10" s="1"/>
  <c r="V166" i="10"/>
  <c r="R166" i="10" s="1"/>
  <c r="V165" i="10"/>
  <c r="R165" i="10" s="1"/>
  <c r="V164" i="10"/>
  <c r="R164" i="10" s="1"/>
  <c r="V163" i="10"/>
  <c r="R163" i="10" s="1"/>
  <c r="V162" i="10"/>
  <c r="R162" i="10" s="1"/>
  <c r="V161" i="10"/>
  <c r="R161" i="10" s="1"/>
  <c r="V160" i="10"/>
  <c r="R160" i="10" s="1"/>
  <c r="V159" i="10"/>
  <c r="R159" i="10" s="1"/>
  <c r="W158" i="10"/>
  <c r="V158" i="10"/>
  <c r="R158" i="10" s="1"/>
  <c r="AH157" i="10"/>
  <c r="AI157" i="10" s="1"/>
  <c r="AJ157" i="10" s="1"/>
  <c r="AK157" i="10" s="1"/>
  <c r="AL157" i="10" s="1"/>
  <c r="AM157" i="10" s="1"/>
  <c r="AN157" i="10" s="1"/>
  <c r="AO157" i="10" s="1"/>
  <c r="AF157" i="10"/>
  <c r="AG157" i="10" s="1"/>
  <c r="AO146" i="10"/>
  <c r="AN146" i="10"/>
  <c r="AM146" i="10"/>
  <c r="AL146" i="10"/>
  <c r="AK146" i="10"/>
  <c r="AJ146" i="10"/>
  <c r="AI146" i="10"/>
  <c r="AH146" i="10"/>
  <c r="AF146" i="10"/>
  <c r="AE146" i="10"/>
  <c r="AG145" i="10"/>
  <c r="AG146" i="10" s="1"/>
  <c r="AF145" i="10"/>
  <c r="AO141" i="10"/>
  <c r="AO142" i="10" s="1"/>
  <c r="AG140" i="10"/>
  <c r="AF140" i="10"/>
  <c r="AR138" i="10"/>
  <c r="AN138" i="10"/>
  <c r="AP141" i="10" s="1"/>
  <c r="AM138" i="10"/>
  <c r="AL138" i="10" s="1"/>
  <c r="AK138" i="10"/>
  <c r="AJ138" i="10" s="1"/>
  <c r="AI138" i="10" s="1"/>
  <c r="AG136" i="10"/>
  <c r="AF136" i="10"/>
  <c r="AO129" i="10"/>
  <c r="AO130" i="10" s="1"/>
  <c r="AN129" i="10"/>
  <c r="AN130" i="10" s="1"/>
  <c r="AM129" i="10"/>
  <c r="AM130" i="10" s="1"/>
  <c r="AL129" i="10"/>
  <c r="AL130" i="10" s="1"/>
  <c r="AK129" i="10"/>
  <c r="AK130" i="10" s="1"/>
  <c r="AJ129" i="10"/>
  <c r="AJ130" i="10" s="1"/>
  <c r="AI129" i="10"/>
  <c r="AI130" i="10" s="1"/>
  <c r="AH129" i="10"/>
  <c r="AH130" i="10" s="1"/>
  <c r="AG129" i="10"/>
  <c r="AG130" i="10" s="1"/>
  <c r="AE129" i="10"/>
  <c r="AE130" i="10" s="1"/>
  <c r="AG128" i="10"/>
  <c r="AF128" i="10"/>
  <c r="AG127" i="10"/>
  <c r="AF127" i="10"/>
  <c r="AO123" i="10"/>
  <c r="AN123" i="10"/>
  <c r="AM123" i="10"/>
  <c r="AL123" i="10"/>
  <c r="AK123" i="10"/>
  <c r="AJ123" i="10"/>
  <c r="AI123" i="10"/>
  <c r="AH123" i="10"/>
  <c r="AG123" i="10"/>
  <c r="AE123" i="10"/>
  <c r="AG122" i="10"/>
  <c r="AF122" i="10"/>
  <c r="AF123" i="10" s="1"/>
  <c r="AX121" i="10"/>
  <c r="AY121" i="10" s="1"/>
  <c r="AQ120" i="10"/>
  <c r="AO118" i="10"/>
  <c r="AN118" i="10"/>
  <c r="AM118" i="10"/>
  <c r="AL118" i="10"/>
  <c r="AK118" i="10"/>
  <c r="AJ118" i="10"/>
  <c r="AI118" i="10"/>
  <c r="AH118" i="10"/>
  <c r="AE118" i="10"/>
  <c r="AG117" i="10"/>
  <c r="AG118" i="10" s="1"/>
  <c r="AF117" i="10"/>
  <c r="AF118" i="10" s="1"/>
  <c r="AM112" i="10"/>
  <c r="AE112" i="10"/>
  <c r="AN111" i="10"/>
  <c r="AN112" i="10" s="1"/>
  <c r="AM111" i="10"/>
  <c r="AL111" i="10"/>
  <c r="AL112" i="10" s="1"/>
  <c r="AK111" i="10"/>
  <c r="AK112" i="10" s="1"/>
  <c r="AJ111" i="10"/>
  <c r="AJ112" i="10" s="1"/>
  <c r="AI111" i="10"/>
  <c r="AI112" i="10" s="1"/>
  <c r="AH111" i="10"/>
  <c r="AH112" i="10" s="1"/>
  <c r="AE111" i="10"/>
  <c r="AG110" i="10"/>
  <c r="AF110" i="10"/>
  <c r="AO109" i="10"/>
  <c r="AO111" i="10" s="1"/>
  <c r="AO112" i="10" s="1"/>
  <c r="AG109" i="10"/>
  <c r="AF109" i="10"/>
  <c r="AK102" i="10"/>
  <c r="AG102" i="10"/>
  <c r="AF102" i="10"/>
  <c r="AO101" i="10"/>
  <c r="AO102" i="10" s="1"/>
  <c r="AN101" i="10"/>
  <c r="AN102" i="10" s="1"/>
  <c r="AN104" i="10" s="1"/>
  <c r="AM101" i="10"/>
  <c r="AM102" i="10" s="1"/>
  <c r="AM104" i="10" s="1"/>
  <c r="AM105" i="10" s="1"/>
  <c r="AM163" i="10" s="1"/>
  <c r="AM193" i="10" s="1"/>
  <c r="V13" i="16" s="1"/>
  <c r="AL101" i="10"/>
  <c r="AL102" i="10" s="1"/>
  <c r="AL104" i="10" s="1"/>
  <c r="AK101" i="10"/>
  <c r="AJ101" i="10"/>
  <c r="AJ102" i="10" s="1"/>
  <c r="AJ104" i="10" s="1"/>
  <c r="AI101" i="10"/>
  <c r="AI102" i="10" s="1"/>
  <c r="AI104" i="10" s="1"/>
  <c r="AH101" i="10"/>
  <c r="AH102" i="10" s="1"/>
  <c r="AH104" i="10" s="1"/>
  <c r="AE101" i="10"/>
  <c r="AE102" i="10" s="1"/>
  <c r="AM93" i="10"/>
  <c r="Q79" i="10"/>
  <c r="Q80" i="10" s="1"/>
  <c r="P79" i="10"/>
  <c r="P80" i="10" s="1"/>
  <c r="O79" i="10"/>
  <c r="O80" i="10" s="1"/>
  <c r="N79" i="10"/>
  <c r="N80" i="10" s="1"/>
  <c r="M79" i="10"/>
  <c r="M80" i="10" s="1"/>
  <c r="L79" i="10"/>
  <c r="L80" i="10" s="1"/>
  <c r="K79" i="10"/>
  <c r="K80" i="10" s="1"/>
  <c r="J79" i="10"/>
  <c r="J80" i="10" s="1"/>
  <c r="I79" i="10"/>
  <c r="I80" i="10" s="1"/>
  <c r="H79" i="10"/>
  <c r="H80" i="10" s="1"/>
  <c r="G79" i="10"/>
  <c r="G80" i="10" s="1"/>
  <c r="F79" i="10"/>
  <c r="F80" i="10" s="1"/>
  <c r="E79" i="10"/>
  <c r="E80" i="10" s="1"/>
  <c r="D79" i="10"/>
  <c r="D80" i="10" s="1"/>
  <c r="C79" i="10"/>
  <c r="C80" i="10" s="1"/>
  <c r="B79" i="10"/>
  <c r="B80" i="10" s="1"/>
  <c r="AM76" i="10"/>
  <c r="AM75" i="10"/>
  <c r="AM53" i="10" s="1"/>
  <c r="AM74" i="10"/>
  <c r="AM52" i="10" s="1"/>
  <c r="AM73" i="10"/>
  <c r="AM68" i="10"/>
  <c r="AM67" i="10"/>
  <c r="AM66" i="10"/>
  <c r="AM65" i="10"/>
  <c r="AM64" i="10"/>
  <c r="AM63" i="10"/>
  <c r="AM62" i="10"/>
  <c r="AM61" i="10"/>
  <c r="AM60" i="10"/>
  <c r="AL60" i="10"/>
  <c r="AK60" i="10"/>
  <c r="AM59" i="10"/>
  <c r="AM58" i="10"/>
  <c r="AM57" i="10"/>
  <c r="AM56" i="10"/>
  <c r="AM55" i="10"/>
  <c r="AM54" i="10"/>
  <c r="AO41" i="10"/>
  <c r="AN41" i="10"/>
  <c r="AM41" i="10"/>
  <c r="W27" i="10"/>
  <c r="W159" i="10" s="1"/>
  <c r="AQ20" i="10"/>
  <c r="AQ175" i="10" s="1"/>
  <c r="AR175" i="10" s="1"/>
  <c r="AO20" i="10"/>
  <c r="AN20" i="10"/>
  <c r="AI43" i="10"/>
  <c r="AG43" i="10"/>
  <c r="AF43" i="10"/>
  <c r="AE43" i="10"/>
  <c r="AQ19" i="10"/>
  <c r="AQ174" i="10" s="1"/>
  <c r="AR174" i="10" s="1"/>
  <c r="AO19" i="10"/>
  <c r="AN19" i="10"/>
  <c r="AJ42" i="10"/>
  <c r="AJ174" i="10" s="1"/>
  <c r="AJ204" i="10" s="1"/>
  <c r="S24" i="16" s="1"/>
  <c r="AI42" i="10"/>
  <c r="AH42" i="10"/>
  <c r="AG42" i="10"/>
  <c r="AG174" i="10" s="1"/>
  <c r="AG204" i="10" s="1"/>
  <c r="P24" i="16" s="1"/>
  <c r="AF42" i="10"/>
  <c r="AE42" i="10"/>
  <c r="AW18" i="10"/>
  <c r="AQ18" i="10"/>
  <c r="AQ173" i="10" s="1"/>
  <c r="AR173" i="10" s="1"/>
  <c r="AO18" i="10"/>
  <c r="AN18" i="10"/>
  <c r="AJ41" i="10"/>
  <c r="AI41" i="10"/>
  <c r="AH41" i="10"/>
  <c r="AE41" i="10"/>
  <c r="AE133" i="10" s="1"/>
  <c r="AE173" i="10" s="1"/>
  <c r="AE203" i="10" s="1"/>
  <c r="N23" i="16" s="1"/>
  <c r="AQ17" i="10"/>
  <c r="AQ172" i="10" s="1"/>
  <c r="AR172" i="10" s="1"/>
  <c r="AO17" i="10"/>
  <c r="AN17" i="10"/>
  <c r="AI40" i="10"/>
  <c r="AI131" i="10" s="1"/>
  <c r="AI172" i="10" s="1"/>
  <c r="AI202" i="10" s="1"/>
  <c r="R22" i="16" s="1"/>
  <c r="AH40" i="10"/>
  <c r="AG40" i="10"/>
  <c r="AG131" i="10" s="1"/>
  <c r="AG172" i="10" s="1"/>
  <c r="AG202" i="10" s="1"/>
  <c r="P22" i="16" s="1"/>
  <c r="AF40" i="10"/>
  <c r="AE40" i="10"/>
  <c r="AQ16" i="10"/>
  <c r="AQ171" i="10" s="1"/>
  <c r="AR171" i="10" s="1"/>
  <c r="AO16" i="10"/>
  <c r="AN16" i="10"/>
  <c r="AL39" i="10"/>
  <c r="AK39" i="10"/>
  <c r="AH39" i="10"/>
  <c r="AH113" i="10" s="1"/>
  <c r="AH171" i="10" s="1"/>
  <c r="AH201" i="10" s="1"/>
  <c r="Q21" i="16" s="1"/>
  <c r="AG39" i="10"/>
  <c r="AE39" i="10"/>
  <c r="AE113" i="10" s="1"/>
  <c r="AE171" i="10" s="1"/>
  <c r="AQ15" i="10"/>
  <c r="AQ170" i="10" s="1"/>
  <c r="AR170" i="10" s="1"/>
  <c r="AO15" i="10"/>
  <c r="AN15" i="10"/>
  <c r="AL38" i="10"/>
  <c r="AL124" i="10" s="1"/>
  <c r="AG38" i="10"/>
  <c r="AG124" i="10" s="1"/>
  <c r="AE38" i="10"/>
  <c r="AE124" i="10" s="1"/>
  <c r="AQ14" i="10"/>
  <c r="AQ169" i="10" s="1"/>
  <c r="AR169" i="10" s="1"/>
  <c r="AO14" i="10"/>
  <c r="AN14" i="10"/>
  <c r="AL37" i="10"/>
  <c r="AL119" i="10" s="1"/>
  <c r="AK37" i="10"/>
  <c r="AK119" i="10" s="1"/>
  <c r="AI37" i="10"/>
  <c r="AI119" i="10" s="1"/>
  <c r="AF37" i="10"/>
  <c r="AE37" i="10"/>
  <c r="AE119" i="10" s="1"/>
  <c r="AQ13" i="10"/>
  <c r="AQ168" i="10" s="1"/>
  <c r="AR168" i="10" s="1"/>
  <c r="AO13" i="10"/>
  <c r="AN13" i="10"/>
  <c r="AL36" i="10"/>
  <c r="AL168" i="10" s="1"/>
  <c r="AL198" i="10" s="1"/>
  <c r="U18" i="16" s="1"/>
  <c r="AK36" i="10"/>
  <c r="AK168" i="10" s="1"/>
  <c r="AK198" i="10" s="1"/>
  <c r="T18" i="16" s="1"/>
  <c r="AI36" i="10"/>
  <c r="AI168" i="10" s="1"/>
  <c r="AI198" i="10" s="1"/>
  <c r="R18" i="16" s="1"/>
  <c r="AH36" i="10"/>
  <c r="AH168" i="10" s="1"/>
  <c r="AH198" i="10" s="1"/>
  <c r="Q18" i="16" s="1"/>
  <c r="AE36" i="10"/>
  <c r="AE168" i="10" s="1"/>
  <c r="BC12" i="10"/>
  <c r="BD12" i="10" s="1"/>
  <c r="BA12" i="10"/>
  <c r="AW12" i="10"/>
  <c r="AX12" i="10" s="1"/>
  <c r="AS12" i="10"/>
  <c r="AT12" i="10" s="1"/>
  <c r="AQ12" i="10"/>
  <c r="AQ167" i="10" s="1"/>
  <c r="AR167" i="10" s="1"/>
  <c r="AO12" i="10"/>
  <c r="AN12" i="10"/>
  <c r="AJ35" i="10"/>
  <c r="AJ167" i="10" s="1"/>
  <c r="AJ197" i="10" s="1"/>
  <c r="S17" i="16" s="1"/>
  <c r="AI35" i="10"/>
  <c r="AI167" i="10" s="1"/>
  <c r="AI197" i="10" s="1"/>
  <c r="R17" i="16" s="1"/>
  <c r="AH35" i="10"/>
  <c r="AH167" i="10" s="1"/>
  <c r="AH197" i="10" s="1"/>
  <c r="Q17" i="16" s="1"/>
  <c r="AG35" i="10"/>
  <c r="AG167" i="10" s="1"/>
  <c r="AG197" i="10" s="1"/>
  <c r="P17" i="16" s="1"/>
  <c r="AE35" i="10"/>
  <c r="AE167" i="10" s="1"/>
  <c r="AQ11" i="10"/>
  <c r="AQ166" i="10" s="1"/>
  <c r="AR166" i="10" s="1"/>
  <c r="AO11" i="10"/>
  <c r="AN11" i="10"/>
  <c r="AL34" i="10"/>
  <c r="AL166" i="10" s="1"/>
  <c r="AL196" i="10" s="1"/>
  <c r="U16" i="16" s="1"/>
  <c r="AI34" i="10"/>
  <c r="AI166" i="10" s="1"/>
  <c r="AI196" i="10" s="1"/>
  <c r="R16" i="16" s="1"/>
  <c r="AG34" i="10"/>
  <c r="AG166" i="10" s="1"/>
  <c r="AG196" i="10" s="1"/>
  <c r="P16" i="16" s="1"/>
  <c r="AE34" i="10"/>
  <c r="AE166" i="10" s="1"/>
  <c r="AE196" i="10" s="1"/>
  <c r="N16" i="16" s="1"/>
  <c r="AQ10" i="10"/>
  <c r="AQ165" i="10" s="1"/>
  <c r="AR165" i="10" s="1"/>
  <c r="AO10" i="10"/>
  <c r="AN10" i="10"/>
  <c r="AL33" i="10"/>
  <c r="AL165" i="10" s="1"/>
  <c r="AL195" i="10" s="1"/>
  <c r="U15" i="16" s="1"/>
  <c r="AH33" i="10"/>
  <c r="AH165" i="10" s="1"/>
  <c r="AH195" i="10" s="1"/>
  <c r="Q15" i="16" s="1"/>
  <c r="AG33" i="10"/>
  <c r="AG165" i="10" s="1"/>
  <c r="AG195" i="10" s="1"/>
  <c r="P15" i="16" s="1"/>
  <c r="AF33" i="10"/>
  <c r="AF165" i="10" s="1"/>
  <c r="AF195" i="10" s="1"/>
  <c r="O15" i="16" s="1"/>
  <c r="AE33" i="10"/>
  <c r="AE165" i="10" s="1"/>
  <c r="AQ9" i="10"/>
  <c r="AQ164" i="10" s="1"/>
  <c r="AR164" i="10" s="1"/>
  <c r="AO9" i="10"/>
  <c r="AN9" i="10"/>
  <c r="AL32" i="10"/>
  <c r="AL164" i="10" s="1"/>
  <c r="AL194" i="10" s="1"/>
  <c r="U14" i="16" s="1"/>
  <c r="AK32" i="10"/>
  <c r="AK164" i="10" s="1"/>
  <c r="AK194" i="10" s="1"/>
  <c r="T14" i="16" s="1"/>
  <c r="AJ32" i="10"/>
  <c r="AJ164" i="10" s="1"/>
  <c r="AJ194" i="10" s="1"/>
  <c r="S14" i="16" s="1"/>
  <c r="AG32" i="10"/>
  <c r="AG164" i="10" s="1"/>
  <c r="AG194" i="10" s="1"/>
  <c r="P14" i="16" s="1"/>
  <c r="AE32" i="10"/>
  <c r="AE164" i="10" s="1"/>
  <c r="AQ8" i="10"/>
  <c r="AQ163" i="10" s="1"/>
  <c r="AR163" i="10" s="1"/>
  <c r="AO8" i="10"/>
  <c r="AN8" i="10"/>
  <c r="AQ7" i="10"/>
  <c r="AQ162" i="10" s="1"/>
  <c r="AR162" i="10" s="1"/>
  <c r="AO7" i="10"/>
  <c r="AN7" i="10"/>
  <c r="AI30" i="10"/>
  <c r="AI162" i="10" s="1"/>
  <c r="AI192" i="10" s="1"/>
  <c r="R12" i="16" s="1"/>
  <c r="AH30" i="10"/>
  <c r="AH162" i="10" s="1"/>
  <c r="AH192" i="10" s="1"/>
  <c r="Q12" i="16" s="1"/>
  <c r="AF30" i="10"/>
  <c r="AF162" i="10" s="1"/>
  <c r="AF192" i="10" s="1"/>
  <c r="O12" i="16" s="1"/>
  <c r="AQ6" i="10"/>
  <c r="AQ161" i="10" s="1"/>
  <c r="AR161" i="10" s="1"/>
  <c r="AO6" i="10"/>
  <c r="AN6" i="10"/>
  <c r="AL29" i="10"/>
  <c r="AL161" i="10" s="1"/>
  <c r="AL191" i="10" s="1"/>
  <c r="U11" i="16" s="1"/>
  <c r="AI29" i="10"/>
  <c r="AH29" i="10"/>
  <c r="AE29" i="10"/>
  <c r="AQ5" i="10"/>
  <c r="AQ160" i="10" s="1"/>
  <c r="AR160" i="10" s="1"/>
  <c r="AO5" i="10"/>
  <c r="AN5" i="10"/>
  <c r="AL28" i="10"/>
  <c r="AL160" i="10" s="1"/>
  <c r="AL190" i="10" s="1"/>
  <c r="U10" i="16" s="1"/>
  <c r="AK28" i="10"/>
  <c r="AK160" i="10" s="1"/>
  <c r="AK190" i="10" s="1"/>
  <c r="T10" i="16" s="1"/>
  <c r="AI28" i="10"/>
  <c r="AI160" i="10" s="1"/>
  <c r="AI190" i="10" s="1"/>
  <c r="R10" i="16" s="1"/>
  <c r="AH28" i="10"/>
  <c r="AH160" i="10" s="1"/>
  <c r="AH190" i="10" s="1"/>
  <c r="Q10" i="16" s="1"/>
  <c r="AF28" i="10"/>
  <c r="AF160" i="10" s="1"/>
  <c r="AF190" i="10" s="1"/>
  <c r="O10" i="16" s="1"/>
  <c r="AE28" i="10"/>
  <c r="AE160" i="10" s="1"/>
  <c r="AE190" i="10" s="1"/>
  <c r="N10" i="16" s="1"/>
  <c r="AQ4" i="10"/>
  <c r="AQ159" i="10" s="1"/>
  <c r="AR159" i="10" s="1"/>
  <c r="AO4" i="10"/>
  <c r="AN4" i="10"/>
  <c r="AK27" i="10"/>
  <c r="AK159" i="10" s="1"/>
  <c r="AK189" i="10" s="1"/>
  <c r="T9" i="16" s="1"/>
  <c r="AJ27" i="10"/>
  <c r="AJ159" i="10" s="1"/>
  <c r="AJ189" i="10" s="1"/>
  <c r="S9" i="16" s="1"/>
  <c r="AH27" i="10"/>
  <c r="AH159" i="10" s="1"/>
  <c r="AH189" i="10" s="1"/>
  <c r="Q9" i="16" s="1"/>
  <c r="AG27" i="10"/>
  <c r="AG159" i="10" s="1"/>
  <c r="AG189" i="10" s="1"/>
  <c r="P9" i="16" s="1"/>
  <c r="AE27" i="10"/>
  <c r="AE159" i="10" s="1"/>
  <c r="W4" i="10"/>
  <c r="W5" i="10" s="1"/>
  <c r="W6" i="10" s="1"/>
  <c r="W7" i="10" s="1"/>
  <c r="W8" i="10" s="1"/>
  <c r="W9" i="10" s="1"/>
  <c r="W10" i="10" s="1"/>
  <c r="W11" i="10" s="1"/>
  <c r="W12" i="10" s="1"/>
  <c r="W13" i="10" s="1"/>
  <c r="W14" i="10" s="1"/>
  <c r="W15" i="10" s="1"/>
  <c r="W16" i="10" s="1"/>
  <c r="W17" i="10" s="1"/>
  <c r="W18" i="10" s="1"/>
  <c r="W19" i="10" s="1"/>
  <c r="W20" i="10" s="1"/>
  <c r="S4" i="10"/>
  <c r="S5" i="10" s="1"/>
  <c r="S6" i="10" s="1"/>
  <c r="S7" i="10" s="1"/>
  <c r="S8" i="10" s="1"/>
  <c r="S9" i="10" s="1"/>
  <c r="S10" i="10" s="1"/>
  <c r="S11" i="10" s="1"/>
  <c r="S12" i="10" s="1"/>
  <c r="S13" i="10" s="1"/>
  <c r="S14" i="10" s="1"/>
  <c r="S15" i="10" s="1"/>
  <c r="S16" i="10" s="1"/>
  <c r="S17" i="10" s="1"/>
  <c r="S18" i="10" s="1"/>
  <c r="S19" i="10" s="1"/>
  <c r="S20" i="10" s="1"/>
  <c r="S21" i="10" s="1"/>
  <c r="S22" i="10" s="1"/>
  <c r="S23" i="10" s="1"/>
  <c r="S24" i="10" s="1"/>
  <c r="S25" i="10" s="1"/>
  <c r="S26" i="10" s="1"/>
  <c r="S27" i="10" s="1"/>
  <c r="S28" i="10" s="1"/>
  <c r="S29" i="10" s="1"/>
  <c r="S30" i="10" s="1"/>
  <c r="S31" i="10" s="1"/>
  <c r="S32" i="10" s="1"/>
  <c r="S33" i="10" s="1"/>
  <c r="S34" i="10" s="1"/>
  <c r="S35" i="10" s="1"/>
  <c r="S36" i="10" s="1"/>
  <c r="S37" i="10" s="1"/>
  <c r="S38" i="10" s="1"/>
  <c r="S39" i="10" s="1"/>
  <c r="S40" i="10" s="1"/>
  <c r="S41" i="10" s="1"/>
  <c r="S42" i="10" s="1"/>
  <c r="S43" i="10" s="1"/>
  <c r="S44" i="10" s="1"/>
  <c r="S45" i="10" s="1"/>
  <c r="S46" i="10" s="1"/>
  <c r="S47" i="10" s="1"/>
  <c r="S48" i="10" s="1"/>
  <c r="S49" i="10" s="1"/>
  <c r="S50" i="10" s="1"/>
  <c r="S51" i="10" s="1"/>
  <c r="S52" i="10" s="1"/>
  <c r="S53" i="10" s="1"/>
  <c r="S54" i="10" s="1"/>
  <c r="S55" i="10" s="1"/>
  <c r="S56" i="10" s="1"/>
  <c r="S57" i="10" s="1"/>
  <c r="S58" i="10" s="1"/>
  <c r="S59" i="10" s="1"/>
  <c r="S60" i="10" s="1"/>
  <c r="S61" i="10" s="1"/>
  <c r="S62" i="10" s="1"/>
  <c r="S63" i="10" s="1"/>
  <c r="S64" i="10" s="1"/>
  <c r="S65" i="10" s="1"/>
  <c r="S66" i="10" s="1"/>
  <c r="S67" i="10" s="1"/>
  <c r="S68" i="10" s="1"/>
  <c r="S69" i="10" s="1"/>
  <c r="S70" i="10" s="1"/>
  <c r="S71" i="10" s="1"/>
  <c r="S72" i="10" s="1"/>
  <c r="S73" i="10" s="1"/>
  <c r="S74" i="10" s="1"/>
  <c r="S75" i="10" s="1"/>
  <c r="S76" i="10" s="1"/>
  <c r="S77" i="10" s="1"/>
  <c r="AQ3" i="10"/>
  <c r="AQ158" i="10" s="1"/>
  <c r="AR158" i="10" s="1"/>
  <c r="AO3" i="10"/>
  <c r="AN3" i="10"/>
  <c r="AE26" i="10"/>
  <c r="C2" i="10"/>
  <c r="AE2" i="10" s="1"/>
  <c r="AL131" i="10" l="1"/>
  <c r="AL172" i="10" s="1"/>
  <c r="AL202" i="10" s="1"/>
  <c r="U22" i="16" s="1"/>
  <c r="AF174" i="10"/>
  <c r="AF204" i="10" s="1"/>
  <c r="O24" i="16" s="1"/>
  <c r="AK124" i="10"/>
  <c r="AF111" i="10"/>
  <c r="AF112" i="10" s="1"/>
  <c r="AF113" i="10" s="1"/>
  <c r="AF171" i="10" s="1"/>
  <c r="AF201" i="10" s="1"/>
  <c r="O21" i="16" s="1"/>
  <c r="AM92" i="10"/>
  <c r="AJ161" i="10"/>
  <c r="AJ191" i="10" s="1"/>
  <c r="S11" i="16" s="1"/>
  <c r="AL114" i="10"/>
  <c r="AL175" i="10" s="1"/>
  <c r="AL205" i="10" s="1"/>
  <c r="U25" i="16" s="1"/>
  <c r="AA162" i="14"/>
  <c r="AA192" i="14" s="1"/>
  <c r="J11" i="17" s="1"/>
  <c r="AL171" i="14"/>
  <c r="AL201" i="14" s="1"/>
  <c r="U20" i="17" s="1"/>
  <c r="AI174" i="10"/>
  <c r="AI204" i="10" s="1"/>
  <c r="R24" i="16" s="1"/>
  <c r="AO23" i="11"/>
  <c r="AK161" i="10"/>
  <c r="AK191" i="10" s="1"/>
  <c r="T11" i="16" s="1"/>
  <c r="AG119" i="10"/>
  <c r="Y45" i="14"/>
  <c r="AJ113" i="10"/>
  <c r="AJ171" i="10" s="1"/>
  <c r="AJ201" i="10" s="1"/>
  <c r="S21" i="16" s="1"/>
  <c r="AI133" i="10"/>
  <c r="AI173" i="10" s="1"/>
  <c r="AI203" i="10" s="1"/>
  <c r="R23" i="16" s="1"/>
  <c r="AQ23" i="11"/>
  <c r="BC23" i="11"/>
  <c r="X45" i="14"/>
  <c r="AJ133" i="10"/>
  <c r="AJ173" i="10" s="1"/>
  <c r="AJ203" i="10" s="1"/>
  <c r="S23" i="16" s="1"/>
  <c r="AF21" i="10"/>
  <c r="AF22" i="10" s="1"/>
  <c r="AL162" i="14"/>
  <c r="AL192" i="14" s="1"/>
  <c r="U11" i="17" s="1"/>
  <c r="U26" i="17" s="1"/>
  <c r="AI161" i="10"/>
  <c r="AI191" i="10" s="1"/>
  <c r="R11" i="16" s="1"/>
  <c r="AO133" i="10"/>
  <c r="AO173" i="10" s="1"/>
  <c r="AO203" i="10" s="1"/>
  <c r="X23" i="16" s="1"/>
  <c r="AS23" i="11"/>
  <c r="AE114" i="10"/>
  <c r="AE175" i="10" s="1"/>
  <c r="AE205" i="10" s="1"/>
  <c r="N25" i="16" s="1"/>
  <c r="AM71" i="10"/>
  <c r="AK174" i="10"/>
  <c r="AK204" i="10" s="1"/>
  <c r="T24" i="16" s="1"/>
  <c r="Z162" i="14"/>
  <c r="Z192" i="14" s="1"/>
  <c r="I11" i="17" s="1"/>
  <c r="Y162" i="14"/>
  <c r="Y192" i="14" s="1"/>
  <c r="H11" i="17" s="1"/>
  <c r="AL113" i="10"/>
  <c r="AL171" i="10" s="1"/>
  <c r="AL201" i="10" s="1"/>
  <c r="U21" i="16" s="1"/>
  <c r="AL174" i="10"/>
  <c r="AL204" i="10" s="1"/>
  <c r="U24" i="16" s="1"/>
  <c r="AH114" i="10"/>
  <c r="AH175" i="10" s="1"/>
  <c r="AH205" i="10" s="1"/>
  <c r="Q25" i="16" s="1"/>
  <c r="AM170" i="14"/>
  <c r="AM200" i="14" s="1"/>
  <c r="V19" i="17" s="1"/>
  <c r="AF133" i="10"/>
  <c r="AF173" i="10" s="1"/>
  <c r="AF203" i="10" s="1"/>
  <c r="O23" i="16" s="1"/>
  <c r="AK114" i="10"/>
  <c r="AK175" i="10" s="1"/>
  <c r="AK205" i="10" s="1"/>
  <c r="T25" i="16" s="1"/>
  <c r="AE192" i="10"/>
  <c r="N12" i="16" s="1"/>
  <c r="S162" i="10"/>
  <c r="AN133" i="10"/>
  <c r="AN173" i="10" s="1"/>
  <c r="AN203" i="10" s="1"/>
  <c r="W23" i="16" s="1"/>
  <c r="AG111" i="10"/>
  <c r="AG112" i="10" s="1"/>
  <c r="AG113" i="10" s="1"/>
  <c r="AG171" i="10" s="1"/>
  <c r="AG201" i="10" s="1"/>
  <c r="P21" i="16" s="1"/>
  <c r="AK23" i="11"/>
  <c r="AA162" i="10"/>
  <c r="AH124" i="10"/>
  <c r="AJ23" i="11"/>
  <c r="AF114" i="10"/>
  <c r="AF175" i="10" s="1"/>
  <c r="AF205" i="10" s="1"/>
  <c r="O25" i="16" s="1"/>
  <c r="AE107" i="10"/>
  <c r="AE95" i="10"/>
  <c r="AE194" i="10"/>
  <c r="N14" i="16" s="1"/>
  <c r="S164" i="10"/>
  <c r="AG114" i="10"/>
  <c r="AG175" i="10" s="1"/>
  <c r="AG205" i="10" s="1"/>
  <c r="P25" i="16" s="1"/>
  <c r="AM51" i="10"/>
  <c r="AM70" i="10" s="1"/>
  <c r="AL23" i="11"/>
  <c r="AX23" i="11"/>
  <c r="AA3" i="10"/>
  <c r="AA26" i="10" s="1"/>
  <c r="AA158" i="10" s="1"/>
  <c r="AA188" i="10" s="1"/>
  <c r="J8" i="16" s="1"/>
  <c r="AI124" i="10"/>
  <c r="AE189" i="10"/>
  <c r="N9" i="16" s="1"/>
  <c r="S159" i="10"/>
  <c r="AN21" i="10"/>
  <c r="AN22" i="10" s="1"/>
  <c r="S175" i="10"/>
  <c r="AO21" i="10"/>
  <c r="AO22" i="10" s="1"/>
  <c r="AE158" i="10"/>
  <c r="AK113" i="10"/>
  <c r="AK171" i="10" s="1"/>
  <c r="AK201" i="10" s="1"/>
  <c r="T21" i="16" s="1"/>
  <c r="AE174" i="10"/>
  <c r="AC45" i="10"/>
  <c r="AC162" i="10"/>
  <c r="AK131" i="10"/>
  <c r="AK172" i="10" s="1"/>
  <c r="AK202" i="10" s="1"/>
  <c r="T22" i="16" s="1"/>
  <c r="Z159" i="14"/>
  <c r="Z178" i="14" s="1"/>
  <c r="Z181" i="14" s="1"/>
  <c r="Z45" i="14"/>
  <c r="S167" i="10"/>
  <c r="AE197" i="10"/>
  <c r="N17" i="16" s="1"/>
  <c r="BA23" i="11"/>
  <c r="AD3" i="10"/>
  <c r="AD26" i="10" s="1"/>
  <c r="AD158" i="10" s="1"/>
  <c r="AD188" i="10" s="1"/>
  <c r="M8" i="16" s="1"/>
  <c r="Z31" i="10"/>
  <c r="Z102" i="10"/>
  <c r="AJ131" i="10"/>
  <c r="AJ172" i="10" s="1"/>
  <c r="AJ202" i="10" s="1"/>
  <c r="S22" i="16" s="1"/>
  <c r="AH161" i="10"/>
  <c r="AH191" i="10" s="1"/>
  <c r="Q11" i="16" s="1"/>
  <c r="AF119" i="10"/>
  <c r="AH174" i="10"/>
  <c r="AH204" i="10" s="1"/>
  <c r="Q24" i="16" s="1"/>
  <c r="AF129" i="10"/>
  <c r="AF130" i="10" s="1"/>
  <c r="AF131" i="10" s="1"/>
  <c r="AF172" i="10" s="1"/>
  <c r="AF202" i="10" s="1"/>
  <c r="O22" i="16" s="1"/>
  <c r="AA31" i="10"/>
  <c r="AA102" i="10"/>
  <c r="AA105" i="10"/>
  <c r="AA163" i="10" s="1"/>
  <c r="AA193" i="10" s="1"/>
  <c r="J13" i="16" s="1"/>
  <c r="AD179" i="14"/>
  <c r="AD46" i="14"/>
  <c r="AI113" i="10"/>
  <c r="AI171" i="10" s="1"/>
  <c r="AI201" i="10" s="1"/>
  <c r="R21" i="16" s="1"/>
  <c r="AG21" i="14"/>
  <c r="AG22" i="14" s="1"/>
  <c r="AG21" i="10"/>
  <c r="AB192" i="10"/>
  <c r="K12" i="16" s="1"/>
  <c r="S173" i="10"/>
  <c r="AB45" i="10"/>
  <c r="AB178" i="14"/>
  <c r="AB181" i="14" s="1"/>
  <c r="AB193" i="14"/>
  <c r="K12" i="17" s="1"/>
  <c r="AD162" i="10"/>
  <c r="AB31" i="10"/>
  <c r="AB102" i="10"/>
  <c r="AB105" i="10" s="1"/>
  <c r="AB163" i="10" s="1"/>
  <c r="AB193" i="10" s="1"/>
  <c r="K13" i="16" s="1"/>
  <c r="S168" i="10"/>
  <c r="AE198" i="10"/>
  <c r="N18" i="16" s="1"/>
  <c r="AJ119" i="10"/>
  <c r="AE131" i="10"/>
  <c r="AE172" i="10" s="1"/>
  <c r="AH133" i="10"/>
  <c r="AH173" i="10" s="1"/>
  <c r="AH203" i="10" s="1"/>
  <c r="Q23" i="16" s="1"/>
  <c r="AC31" i="10"/>
  <c r="AC102" i="10"/>
  <c r="AC105" i="10"/>
  <c r="AC163" i="10" s="1"/>
  <c r="AC193" i="10" s="1"/>
  <c r="L13" i="16" s="1"/>
  <c r="AH119" i="10"/>
  <c r="AK133" i="10"/>
  <c r="AK173" i="10" s="1"/>
  <c r="AK203" i="10" s="1"/>
  <c r="T23" i="16" s="1"/>
  <c r="S166" i="10"/>
  <c r="BE23" i="11"/>
  <c r="AH3" i="10"/>
  <c r="AH26" i="10" s="1"/>
  <c r="AH158" i="10" s="1"/>
  <c r="AH188" i="10" s="1"/>
  <c r="Q8" i="16" s="1"/>
  <c r="AD31" i="10"/>
  <c r="AD102" i="10"/>
  <c r="AD105" i="10" s="1"/>
  <c r="AD163" i="10" s="1"/>
  <c r="AD193" i="10" s="1"/>
  <c r="M13" i="16" s="1"/>
  <c r="AL133" i="10"/>
  <c r="AL173" i="10" s="1"/>
  <c r="AL203" i="10" s="1"/>
  <c r="U23" i="16" s="1"/>
  <c r="S160" i="10"/>
  <c r="X192" i="10"/>
  <c r="G12" i="16" s="1"/>
  <c r="AI114" i="10"/>
  <c r="AI175" i="10" s="1"/>
  <c r="AI205" i="10" s="1"/>
  <c r="R25" i="16" s="1"/>
  <c r="AN105" i="10"/>
  <c r="AN163" i="10" s="1"/>
  <c r="AN193" i="10" s="1"/>
  <c r="W13" i="16" s="1"/>
  <c r="AE195" i="10"/>
  <c r="N15" i="16" s="1"/>
  <c r="S165" i="10"/>
  <c r="S171" i="10"/>
  <c r="AE201" i="10"/>
  <c r="N21" i="16" s="1"/>
  <c r="AH131" i="10"/>
  <c r="AH172" i="10" s="1"/>
  <c r="AH202" i="10" s="1"/>
  <c r="Q22" i="16" s="1"/>
  <c r="AM133" i="10"/>
  <c r="AM173" i="10" s="1"/>
  <c r="AM203" i="10" s="1"/>
  <c r="V23" i="16" s="1"/>
  <c r="AI23" i="11"/>
  <c r="AU23" i="11"/>
  <c r="X3" i="10"/>
  <c r="X26" i="10" s="1"/>
  <c r="X158" i="10" s="1"/>
  <c r="X188" i="10" s="1"/>
  <c r="G8" i="16" s="1"/>
  <c r="BG23" i="11"/>
  <c r="Y162" i="10"/>
  <c r="AV23" i="11"/>
  <c r="Y3" i="10"/>
  <c r="Y26" i="10" s="1"/>
  <c r="Y158" i="10" s="1"/>
  <c r="Y188" i="10" s="1"/>
  <c r="H8" i="16" s="1"/>
  <c r="BH23" i="11"/>
  <c r="Z162" i="10"/>
  <c r="Z45" i="10"/>
  <c r="AF3" i="10"/>
  <c r="AF26" i="10" s="1"/>
  <c r="AF158" i="10" s="1"/>
  <c r="AF188" i="10" s="1"/>
  <c r="O8" i="16" s="1"/>
  <c r="Z105" i="10"/>
  <c r="Z163" i="10" s="1"/>
  <c r="Z193" i="10" s="1"/>
  <c r="I13" i="16" s="1"/>
  <c r="AE194" i="14"/>
  <c r="N13" i="17" s="1"/>
  <c r="S164" i="14"/>
  <c r="AM23" i="11"/>
  <c r="AY23" i="11"/>
  <c r="AE21" i="10"/>
  <c r="AE22" i="10" s="1"/>
  <c r="AH162" i="14"/>
  <c r="AH192" i="14" s="1"/>
  <c r="Q11" i="17" s="1"/>
  <c r="AB179" i="14"/>
  <c r="AB46" i="14"/>
  <c r="AN23" i="11"/>
  <c r="AZ23" i="11"/>
  <c r="AD21" i="10"/>
  <c r="AC178" i="14"/>
  <c r="AC193" i="14"/>
  <c r="L12" i="17" s="1"/>
  <c r="AD185" i="14"/>
  <c r="AD189" i="14"/>
  <c r="M8" i="17" s="1"/>
  <c r="Y178" i="14"/>
  <c r="Y181" i="14" s="1"/>
  <c r="Y193" i="14"/>
  <c r="H12" i="17" s="1"/>
  <c r="AC21" i="10"/>
  <c r="AC3" i="10"/>
  <c r="AC26" i="10" s="1"/>
  <c r="AC158" i="10" s="1"/>
  <c r="AC188" i="10" s="1"/>
  <c r="L8" i="16" s="1"/>
  <c r="AH171" i="14"/>
  <c r="AH201" i="14" s="1"/>
  <c r="Q20" i="17" s="1"/>
  <c r="AE45" i="14"/>
  <c r="AE159" i="14"/>
  <c r="AC46" i="14"/>
  <c r="AC182" i="14" s="1"/>
  <c r="AC179" i="14"/>
  <c r="AC47" i="14"/>
  <c r="AC209" i="14" s="1"/>
  <c r="AF171" i="14"/>
  <c r="AF201" i="14" s="1"/>
  <c r="O20" i="17" s="1"/>
  <c r="O26" i="17" s="1"/>
  <c r="Y46" i="14"/>
  <c r="Y182" i="14" s="1"/>
  <c r="Y179" i="14"/>
  <c r="AK162" i="14"/>
  <c r="AK192" i="14" s="1"/>
  <c r="T11" i="17" s="1"/>
  <c r="AP23" i="11"/>
  <c r="BB23" i="11"/>
  <c r="AB21" i="10"/>
  <c r="AB3" i="10"/>
  <c r="AB26" i="10" s="1"/>
  <c r="AB158" i="10" s="1"/>
  <c r="AB188" i="10" s="1"/>
  <c r="K8" i="16" s="1"/>
  <c r="R26" i="17"/>
  <c r="AG162" i="14"/>
  <c r="AG192" i="14" s="1"/>
  <c r="P11" i="17" s="1"/>
  <c r="AC162" i="14"/>
  <c r="AC192" i="14" s="1"/>
  <c r="L11" i="17" s="1"/>
  <c r="AM159" i="14"/>
  <c r="AM189" i="14" s="1"/>
  <c r="V8" i="17" s="1"/>
  <c r="V26" i="17" s="1"/>
  <c r="AM45" i="14"/>
  <c r="AM46" i="14" s="1"/>
  <c r="AM21" i="10"/>
  <c r="AM22" i="10" s="1"/>
  <c r="AA21" i="10"/>
  <c r="AA178" i="14"/>
  <c r="AA181" i="14" s="1"/>
  <c r="AA193" i="14"/>
  <c r="J12" i="17" s="1"/>
  <c r="AR23" i="11"/>
  <c r="BD23" i="11"/>
  <c r="AL21" i="10"/>
  <c r="AL22" i="10" s="1"/>
  <c r="Z21" i="10"/>
  <c r="AG171" i="14"/>
  <c r="AG201" i="14" s="1"/>
  <c r="P20" i="17" s="1"/>
  <c r="P26" i="17" s="1"/>
  <c r="AA45" i="14"/>
  <c r="AC189" i="14"/>
  <c r="L8" i="17" s="1"/>
  <c r="T26" i="17"/>
  <c r="AJ171" i="14"/>
  <c r="AJ201" i="14" s="1"/>
  <c r="S20" i="17" s="1"/>
  <c r="S26" i="17" s="1"/>
  <c r="X185" i="14"/>
  <c r="X189" i="14"/>
  <c r="G8" i="17" s="1"/>
  <c r="AK21" i="10"/>
  <c r="AK22" i="10" s="1"/>
  <c r="Y21" i="10"/>
  <c r="AK3" i="10"/>
  <c r="AK26" i="10" s="1"/>
  <c r="AK158" i="10" s="1"/>
  <c r="AK188" i="10" s="1"/>
  <c r="T8" i="16" s="1"/>
  <c r="Q26" i="17"/>
  <c r="AE192" i="14"/>
  <c r="N11" i="17" s="1"/>
  <c r="S162" i="14"/>
  <c r="AT23" i="11"/>
  <c r="BF23" i="11"/>
  <c r="AJ21" i="10"/>
  <c r="AJ22" i="10" s="1"/>
  <c r="X21" i="10"/>
  <c r="AJ3" i="10"/>
  <c r="AI171" i="14"/>
  <c r="AI201" i="14" s="1"/>
  <c r="R20" i="17" s="1"/>
  <c r="AM171" i="14"/>
  <c r="AM201" i="14" s="1"/>
  <c r="V20" i="17" s="1"/>
  <c r="AA185" i="14"/>
  <c r="AA189" i="14"/>
  <c r="J8" i="17" s="1"/>
  <c r="AE171" i="14"/>
  <c r="AE201" i="14" s="1"/>
  <c r="N20" i="17" s="1"/>
  <c r="AB185" i="14"/>
  <c r="AB189" i="14"/>
  <c r="K8" i="17" s="1"/>
  <c r="AK171" i="14"/>
  <c r="AK201" i="14" s="1"/>
  <c r="T20" i="17" s="1"/>
  <c r="Y185" i="14"/>
  <c r="Y189" i="14"/>
  <c r="H8" i="17" s="1"/>
  <c r="AI21" i="10"/>
  <c r="AI3" i="10"/>
  <c r="AI26" i="10" s="1"/>
  <c r="AI158" i="10" s="1"/>
  <c r="AI188" i="10" s="1"/>
  <c r="R8" i="16" s="1"/>
  <c r="X178" i="14"/>
  <c r="X181" i="14" s="1"/>
  <c r="X193" i="14"/>
  <c r="G12" i="17" s="1"/>
  <c r="AH21" i="10"/>
  <c r="AH22" i="10" s="1"/>
  <c r="Z193" i="14"/>
  <c r="I12" i="17" s="1"/>
  <c r="X179" i="14"/>
  <c r="X46" i="14"/>
  <c r="AW23" i="11"/>
  <c r="BI23" i="11"/>
  <c r="AG3" i="10"/>
  <c r="AG26" i="10" s="1"/>
  <c r="AG158" i="10" s="1"/>
  <c r="AG188" i="10" s="1"/>
  <c r="P8" i="16" s="1"/>
  <c r="AD178" i="14"/>
  <c r="AD181" i="14" s="1"/>
  <c r="AD193" i="14"/>
  <c r="M12" i="17" s="1"/>
  <c r="Y103" i="10"/>
  <c r="Y104" i="10"/>
  <c r="Y105" i="10" s="1"/>
  <c r="Y163" i="10" s="1"/>
  <c r="Y193" i="10" s="1"/>
  <c r="H13" i="16" s="1"/>
  <c r="X103" i="10"/>
  <c r="X104" i="10"/>
  <c r="X105" i="10" s="1"/>
  <c r="X163" i="10" s="1"/>
  <c r="X193" i="10" s="1"/>
  <c r="G13" i="16" s="1"/>
  <c r="BJ26" i="11"/>
  <c r="BJ23" i="11"/>
  <c r="AE161" i="10"/>
  <c r="AE147" i="10"/>
  <c r="D2" i="10"/>
  <c r="AH105" i="10"/>
  <c r="AH163" i="10" s="1"/>
  <c r="AH193" i="10" s="1"/>
  <c r="Q13" i="16" s="1"/>
  <c r="AH31" i="10"/>
  <c r="AJ105" i="10"/>
  <c r="AJ163" i="10" s="1"/>
  <c r="AJ193" i="10" s="1"/>
  <c r="S13" i="16" s="1"/>
  <c r="AJ31" i="10"/>
  <c r="AL105" i="10"/>
  <c r="AL163" i="10" s="1"/>
  <c r="AL193" i="10" s="1"/>
  <c r="U13" i="16" s="1"/>
  <c r="AL31" i="10"/>
  <c r="AG22" i="10"/>
  <c r="AI22" i="10"/>
  <c r="AJ26" i="10"/>
  <c r="AJ158" i="10" s="1"/>
  <c r="AJ188" i="10" s="1"/>
  <c r="S8" i="16" s="1"/>
  <c r="AL26" i="10"/>
  <c r="AL158" i="10" s="1"/>
  <c r="AL188" i="10" s="1"/>
  <c r="U8" i="16" s="1"/>
  <c r="W28" i="10"/>
  <c r="AH138" i="10"/>
  <c r="AG147" i="10"/>
  <c r="AE31" i="10"/>
  <c r="AE45" i="10" s="1"/>
  <c r="AG31" i="10"/>
  <c r="AI105" i="10"/>
  <c r="AI163" i="10" s="1"/>
  <c r="AI193" i="10" s="1"/>
  <c r="R13" i="16" s="1"/>
  <c r="AI31" i="10"/>
  <c r="AK31" i="10"/>
  <c r="AQ22" i="10"/>
  <c r="AQ23" i="10"/>
  <c r="AF31" i="10"/>
  <c r="AJ147" i="10"/>
  <c r="AP41" i="10"/>
  <c r="AE103" i="10"/>
  <c r="AK103" i="10"/>
  <c r="AO103" i="10"/>
  <c r="AH103" i="10"/>
  <c r="AL103" i="10"/>
  <c r="AE104" i="10"/>
  <c r="AE105" i="10" s="1"/>
  <c r="AE163" i="10" s="1"/>
  <c r="AH147" i="10"/>
  <c r="AL147" i="10"/>
  <c r="AI103" i="10"/>
  <c r="AM103" i="10"/>
  <c r="AJ103" i="10"/>
  <c r="AN103" i="10"/>
  <c r="AK104" i="10"/>
  <c r="AK105" i="10" s="1"/>
  <c r="AK163" i="10" s="1"/>
  <c r="AK193" i="10" s="1"/>
  <c r="T13" i="16" s="1"/>
  <c r="AO104" i="10"/>
  <c r="AO105" i="10" s="1"/>
  <c r="AO163" i="10" s="1"/>
  <c r="AO193" i="10" s="1"/>
  <c r="X13" i="16" s="1"/>
  <c r="AF147" i="10"/>
  <c r="AI147" i="10"/>
  <c r="AK147" i="10"/>
  <c r="X45" i="10" l="1"/>
  <c r="AB177" i="10"/>
  <c r="Y45" i="10"/>
  <c r="AD45" i="10"/>
  <c r="Y183" i="14"/>
  <c r="Y177" i="10"/>
  <c r="Y192" i="10"/>
  <c r="H12" i="16" s="1"/>
  <c r="AC177" i="10"/>
  <c r="AC192" i="10"/>
  <c r="L12" i="16" s="1"/>
  <c r="AC181" i="14"/>
  <c r="AC183" i="14" s="1"/>
  <c r="AE189" i="14"/>
  <c r="N8" i="17" s="1"/>
  <c r="N26" i="17" s="1"/>
  <c r="S159" i="14"/>
  <c r="AE178" i="14"/>
  <c r="S178" i="14"/>
  <c r="X177" i="10"/>
  <c r="AE204" i="10"/>
  <c r="N24" i="16" s="1"/>
  <c r="S174" i="10"/>
  <c r="AA45" i="10"/>
  <c r="Y46" i="10"/>
  <c r="Y181" i="10" s="1"/>
  <c r="Y178" i="10"/>
  <c r="AC46" i="10"/>
  <c r="AC181" i="10" s="1"/>
  <c r="AC178" i="10"/>
  <c r="S161" i="10"/>
  <c r="AE191" i="10"/>
  <c r="N11" i="16" s="1"/>
  <c r="AA177" i="10"/>
  <c r="AA192" i="10"/>
  <c r="J12" i="16" s="1"/>
  <c r="AE193" i="10"/>
  <c r="N13" i="16" s="1"/>
  <c r="S163" i="10"/>
  <c r="AB46" i="10"/>
  <c r="AB181" i="10" s="1"/>
  <c r="AB47" i="10"/>
  <c r="AB208" i="10" s="1"/>
  <c r="AB178" i="10"/>
  <c r="Z46" i="10"/>
  <c r="Z181" i="10" s="1"/>
  <c r="Z178" i="10"/>
  <c r="AD46" i="10"/>
  <c r="AD178" i="10"/>
  <c r="AD47" i="14"/>
  <c r="AD209" i="14" s="1"/>
  <c r="AD182" i="14"/>
  <c r="AD183" i="14" s="1"/>
  <c r="AE188" i="10"/>
  <c r="N8" i="16" s="1"/>
  <c r="S158" i="10"/>
  <c r="X47" i="14"/>
  <c r="X209" i="14" s="1"/>
  <c r="X182" i="14"/>
  <c r="X183" i="14" s="1"/>
  <c r="AB47" i="14"/>
  <c r="AB209" i="14" s="1"/>
  <c r="AB182" i="14"/>
  <c r="AB183" i="14" s="1"/>
  <c r="Z177" i="10"/>
  <c r="Z192" i="10"/>
  <c r="I12" i="16" s="1"/>
  <c r="X173" i="10"/>
  <c r="Y173" i="10"/>
  <c r="Z173" i="10"/>
  <c r="AA173" i="10"/>
  <c r="AB173" i="10"/>
  <c r="AC173" i="10"/>
  <c r="AD173" i="10"/>
  <c r="X46" i="10"/>
  <c r="X181" i="10" s="1"/>
  <c r="X178" i="10"/>
  <c r="X47" i="10"/>
  <c r="X208" i="10" s="1"/>
  <c r="AD177" i="10"/>
  <c r="AD192" i="10"/>
  <c r="M12" i="16" s="1"/>
  <c r="AC185" i="14"/>
  <c r="Y47" i="14"/>
  <c r="Y209" i="14" s="1"/>
  <c r="X175" i="10"/>
  <c r="Y175" i="10"/>
  <c r="Z175" i="10"/>
  <c r="AA175" i="10"/>
  <c r="AB175" i="10"/>
  <c r="AC175" i="10"/>
  <c r="AD175" i="10"/>
  <c r="Z185" i="14"/>
  <c r="Z189" i="14"/>
  <c r="I8" i="17" s="1"/>
  <c r="AA46" i="14"/>
  <c r="AA182" i="14" s="1"/>
  <c r="AA183" i="14" s="1"/>
  <c r="AA179" i="14"/>
  <c r="AA47" i="14"/>
  <c r="AA209" i="14" s="1"/>
  <c r="Y171" i="10"/>
  <c r="Z171" i="10"/>
  <c r="AA171" i="10"/>
  <c r="AB171" i="10"/>
  <c r="AC171" i="10"/>
  <c r="AD171" i="10"/>
  <c r="X171" i="10"/>
  <c r="S177" i="10"/>
  <c r="Y201" i="14"/>
  <c r="H20" i="17" s="1"/>
  <c r="Y202" i="14"/>
  <c r="H21" i="17" s="1"/>
  <c r="Y200" i="14"/>
  <c r="H19" i="17" s="1"/>
  <c r="Y204" i="14"/>
  <c r="H23" i="17" s="1"/>
  <c r="Y206" i="14"/>
  <c r="H25" i="17" s="1"/>
  <c r="S172" i="10"/>
  <c r="AE202" i="10"/>
  <c r="N22" i="16" s="1"/>
  <c r="Z179" i="14"/>
  <c r="Z46" i="14"/>
  <c r="AG103" i="10"/>
  <c r="AG104" i="10" s="1"/>
  <c r="AG105" i="10" s="1"/>
  <c r="AG163" i="10" s="1"/>
  <c r="AG193" i="10" s="1"/>
  <c r="P13" i="16" s="1"/>
  <c r="AF103" i="10"/>
  <c r="AF104" i="10" s="1"/>
  <c r="AF105" i="10" s="1"/>
  <c r="AF163" i="10" s="1"/>
  <c r="AF193" i="10" s="1"/>
  <c r="O13" i="16" s="1"/>
  <c r="AG138" i="10"/>
  <c r="W160" i="10"/>
  <c r="W29" i="10"/>
  <c r="AF2" i="10"/>
  <c r="AF107" i="10" s="1"/>
  <c r="E2" i="10"/>
  <c r="U1" i="3"/>
  <c r="AH1" i="3" s="1"/>
  <c r="V1" i="3"/>
  <c r="W1" i="3"/>
  <c r="AI1" i="3"/>
  <c r="AV2" i="3"/>
  <c r="AB3" i="3"/>
  <c r="AB4" i="3" s="1"/>
  <c r="AB5" i="3" s="1"/>
  <c r="AF3" i="3"/>
  <c r="AF4" i="3" s="1"/>
  <c r="AQ3" i="3"/>
  <c r="AT3" i="3"/>
  <c r="AV3" i="3"/>
  <c r="AO4" i="3"/>
  <c r="AQ4" i="3"/>
  <c r="AT4" i="3"/>
  <c r="AV4" i="3"/>
  <c r="AW4" i="3" s="1"/>
  <c r="AO5" i="3"/>
  <c r="AO6" i="3" s="1"/>
  <c r="AO7" i="3" s="1"/>
  <c r="AO8" i="3" s="1"/>
  <c r="AO9" i="3" s="1"/>
  <c r="AO10" i="3" s="1"/>
  <c r="AO11" i="3" s="1"/>
  <c r="AO12" i="3" s="1"/>
  <c r="AO13" i="3" s="1"/>
  <c r="AO14" i="3" s="1"/>
  <c r="AO15" i="3" s="1"/>
  <c r="AO16" i="3" s="1"/>
  <c r="AO17" i="3" s="1"/>
  <c r="AO18" i="3" s="1"/>
  <c r="AO19" i="3" s="1"/>
  <c r="AO20" i="3" s="1"/>
  <c r="AO21" i="3" s="1"/>
  <c r="AQ5" i="3"/>
  <c r="AT5" i="3"/>
  <c r="AV5" i="3"/>
  <c r="AB6" i="3"/>
  <c r="AB7" i="3" s="1"/>
  <c r="AB8" i="3" s="1"/>
  <c r="AB9" i="3" s="1"/>
  <c r="AB10" i="3" s="1"/>
  <c r="AB11" i="3" s="1"/>
  <c r="AB12" i="3" s="1"/>
  <c r="AB13" i="3" s="1"/>
  <c r="AB14" i="3" s="1"/>
  <c r="AB15" i="3" s="1"/>
  <c r="AB16" i="3" s="1"/>
  <c r="AB17" i="3" s="1"/>
  <c r="AB18" i="3" s="1"/>
  <c r="AB19" i="3" s="1"/>
  <c r="AB20" i="3" s="1"/>
  <c r="AB21" i="3" s="1"/>
  <c r="AB22" i="3" s="1"/>
  <c r="AB23" i="3" s="1"/>
  <c r="AB24" i="3" s="1"/>
  <c r="AB25" i="3" s="1"/>
  <c r="AB26" i="3" s="1"/>
  <c r="AB27" i="3" s="1"/>
  <c r="AB28" i="3" s="1"/>
  <c r="AB29" i="3" s="1"/>
  <c r="AB30" i="3" s="1"/>
  <c r="AB31" i="3" s="1"/>
  <c r="AB32" i="3" s="1"/>
  <c r="AB33" i="3" s="1"/>
  <c r="AB34" i="3" s="1"/>
  <c r="AB35" i="3" s="1"/>
  <c r="AB36" i="3" s="1"/>
  <c r="AB37" i="3" s="1"/>
  <c r="AB38" i="3" s="1"/>
  <c r="AB39" i="3" s="1"/>
  <c r="AB40" i="3" s="1"/>
  <c r="AB41" i="3" s="1"/>
  <c r="AB42" i="3" s="1"/>
  <c r="AB43" i="3" s="1"/>
  <c r="AB44" i="3" s="1"/>
  <c r="AB45" i="3" s="1"/>
  <c r="AB46" i="3" s="1"/>
  <c r="AB47" i="3" s="1"/>
  <c r="AB48" i="3" s="1"/>
  <c r="AB49" i="3" s="1"/>
  <c r="AB50" i="3" s="1"/>
  <c r="AB51" i="3" s="1"/>
  <c r="AB52" i="3" s="1"/>
  <c r="AB53" i="3" s="1"/>
  <c r="AB54" i="3" s="1"/>
  <c r="AB55" i="3" s="1"/>
  <c r="AB56" i="3" s="1"/>
  <c r="AB57" i="3" s="1"/>
  <c r="AB58" i="3" s="1"/>
  <c r="AB59" i="3" s="1"/>
  <c r="AB60" i="3" s="1"/>
  <c r="AB61" i="3" s="1"/>
  <c r="AB62" i="3" s="1"/>
  <c r="AB63" i="3" s="1"/>
  <c r="AB64" i="3" s="1"/>
  <c r="AB65" i="3" s="1"/>
  <c r="AB66" i="3" s="1"/>
  <c r="AB67" i="3" s="1"/>
  <c r="AB68" i="3" s="1"/>
  <c r="AB69" i="3" s="1"/>
  <c r="AB70" i="3" s="1"/>
  <c r="AB71" i="3" s="1"/>
  <c r="AB72" i="3" s="1"/>
  <c r="AB73" i="3" s="1"/>
  <c r="AB74" i="3" s="1"/>
  <c r="AB75" i="3" s="1"/>
  <c r="AB76" i="3" s="1"/>
  <c r="AQ6" i="3"/>
  <c r="AT6" i="3"/>
  <c r="AV6" i="3"/>
  <c r="AW6" i="3" s="1"/>
  <c r="AQ7" i="3"/>
  <c r="AT7" i="3"/>
  <c r="AV7" i="3"/>
  <c r="AW7" i="3" s="1"/>
  <c r="AQ8" i="3"/>
  <c r="AT8" i="3"/>
  <c r="AV8" i="3"/>
  <c r="AW8" i="3" s="1"/>
  <c r="T9" i="3"/>
  <c r="AG5" i="3" s="1"/>
  <c r="AG26" i="3" s="1"/>
  <c r="AF28" i="2" s="1"/>
  <c r="U9" i="3"/>
  <c r="V9" i="3"/>
  <c r="AI5" i="3" s="1"/>
  <c r="AI26" i="3" s="1"/>
  <c r="W9" i="3"/>
  <c r="AJ5" i="3" s="1"/>
  <c r="AJ26" i="3" s="1"/>
  <c r="J9" i="9" s="1"/>
  <c r="X9" i="3"/>
  <c r="Y9" i="3"/>
  <c r="Z9" i="3"/>
  <c r="AQ9" i="3"/>
  <c r="AT9" i="3"/>
  <c r="AV9" i="3"/>
  <c r="AW9" i="3" s="1"/>
  <c r="T10" i="3"/>
  <c r="U10" i="3"/>
  <c r="V10" i="3"/>
  <c r="W10" i="3"/>
  <c r="X10" i="3"/>
  <c r="AK5" i="3" s="1"/>
  <c r="AK26" i="3" s="1"/>
  <c r="Y10" i="3"/>
  <c r="AL5" i="3" s="1"/>
  <c r="AL26" i="3" s="1"/>
  <c r="Z10" i="3"/>
  <c r="AQ10" i="3"/>
  <c r="AT10" i="3"/>
  <c r="AV10" i="3"/>
  <c r="AW10" i="3" s="1"/>
  <c r="T11" i="3"/>
  <c r="U11" i="3"/>
  <c r="V11" i="3"/>
  <c r="W11" i="3"/>
  <c r="X11" i="3"/>
  <c r="Y11" i="3"/>
  <c r="Z11" i="3"/>
  <c r="AQ11" i="3"/>
  <c r="AT11" i="3"/>
  <c r="AV11" i="3"/>
  <c r="AW11" i="3" s="1"/>
  <c r="T12" i="3"/>
  <c r="U12" i="3"/>
  <c r="AH18" i="3" s="1"/>
  <c r="AH39" i="3" s="1"/>
  <c r="AG41" i="1" s="1"/>
  <c r="AG171" i="1" s="1"/>
  <c r="V12" i="3"/>
  <c r="AI18" i="3" s="1"/>
  <c r="AI39" i="3" s="1"/>
  <c r="W12" i="3"/>
  <c r="AJ18" i="3" s="1"/>
  <c r="AJ39" i="3" s="1"/>
  <c r="J22" i="9" s="1"/>
  <c r="X12" i="3"/>
  <c r="Y12" i="3"/>
  <c r="AL18" i="3" s="1"/>
  <c r="AL39" i="3" s="1"/>
  <c r="Z12" i="3"/>
  <c r="AQ12" i="3"/>
  <c r="AT12" i="3"/>
  <c r="AV12" i="3"/>
  <c r="AW12" i="3" s="1"/>
  <c r="T13" i="3"/>
  <c r="U13" i="3"/>
  <c r="V13" i="3"/>
  <c r="W13" i="3"/>
  <c r="X13" i="3"/>
  <c r="AK18" i="3" s="1"/>
  <c r="AK39" i="3" s="1"/>
  <c r="Y13" i="3"/>
  <c r="Z13" i="3"/>
  <c r="AV13" i="3"/>
  <c r="T14" i="3"/>
  <c r="U14" i="3"/>
  <c r="V14" i="3"/>
  <c r="AI11" i="3" s="1"/>
  <c r="AI32" i="3" s="1"/>
  <c r="W14" i="3"/>
  <c r="X14" i="3"/>
  <c r="AK11" i="3" s="1"/>
  <c r="AK32" i="3" s="1"/>
  <c r="Y14" i="3"/>
  <c r="Z14" i="3"/>
  <c r="AM11" i="3" s="1"/>
  <c r="AM32" i="3" s="1"/>
  <c r="AQ14" i="3"/>
  <c r="AT14" i="3"/>
  <c r="AV14" i="3"/>
  <c r="AW14" i="3"/>
  <c r="T15" i="3"/>
  <c r="AG11" i="3" s="1"/>
  <c r="AG32" i="3" s="1"/>
  <c r="AF34" i="2" s="1"/>
  <c r="AF203" i="2" s="1"/>
  <c r="U15" i="3"/>
  <c r="V15" i="3"/>
  <c r="W15" i="3"/>
  <c r="X15" i="3"/>
  <c r="Y15" i="3"/>
  <c r="Z15" i="3"/>
  <c r="AQ15" i="3"/>
  <c r="AT15" i="3"/>
  <c r="AV15" i="3"/>
  <c r="AW15" i="3" s="1"/>
  <c r="T16" i="3"/>
  <c r="U16" i="3"/>
  <c r="V16" i="3"/>
  <c r="W16" i="3"/>
  <c r="X16" i="3"/>
  <c r="Y16" i="3"/>
  <c r="Z16" i="3"/>
  <c r="AQ16" i="3"/>
  <c r="AT16" i="3"/>
  <c r="AV16" i="3"/>
  <c r="AW16" i="3" s="1"/>
  <c r="T17" i="3"/>
  <c r="U17" i="3"/>
  <c r="AH12" i="3" s="1"/>
  <c r="AH33" i="3" s="1"/>
  <c r="AG35" i="1" s="1"/>
  <c r="AG165" i="1" s="1"/>
  <c r="V17" i="3"/>
  <c r="AI12" i="3" s="1"/>
  <c r="AI33" i="3" s="1"/>
  <c r="AH35" i="2" s="1"/>
  <c r="AH204" i="2" s="1"/>
  <c r="W17" i="3"/>
  <c r="AJ12" i="3" s="1"/>
  <c r="X17" i="3"/>
  <c r="Y17" i="3"/>
  <c r="Z17" i="3"/>
  <c r="AV17" i="3"/>
  <c r="T18" i="3"/>
  <c r="U18" i="3"/>
  <c r="V18" i="3"/>
  <c r="W18" i="3"/>
  <c r="X18" i="3"/>
  <c r="Y18" i="3"/>
  <c r="Z18" i="3"/>
  <c r="AG18" i="3"/>
  <c r="AG39" i="3" s="1"/>
  <c r="AV18" i="3"/>
  <c r="T19" i="3"/>
  <c r="U19" i="3"/>
  <c r="V19" i="3"/>
  <c r="W19" i="3"/>
  <c r="X19" i="3"/>
  <c r="Y19" i="3"/>
  <c r="Z19" i="3"/>
  <c r="AQ19" i="3"/>
  <c r="AT19" i="3"/>
  <c r="AV19" i="3"/>
  <c r="AW19" i="3"/>
  <c r="T20" i="3"/>
  <c r="U20" i="3"/>
  <c r="V20" i="3"/>
  <c r="W20" i="3"/>
  <c r="X20" i="3"/>
  <c r="Y20" i="3"/>
  <c r="Z20" i="3"/>
  <c r="AV20" i="3"/>
  <c r="AV25" i="3" s="1"/>
  <c r="T21" i="3"/>
  <c r="U21" i="3"/>
  <c r="V21" i="3"/>
  <c r="W21" i="3"/>
  <c r="X21" i="3"/>
  <c r="Y21" i="3"/>
  <c r="Z21" i="3"/>
  <c r="AQ21" i="3"/>
  <c r="AT21" i="3"/>
  <c r="AV21" i="3"/>
  <c r="AW21" i="3" s="1"/>
  <c r="B22" i="3"/>
  <c r="B23" i="3" s="1"/>
  <c r="H26" i="3" s="1"/>
  <c r="V26" i="3" s="1"/>
  <c r="H22" i="3"/>
  <c r="T22" i="3"/>
  <c r="U22" i="3"/>
  <c r="W22" i="3"/>
  <c r="X22" i="3"/>
  <c r="Y22" i="3"/>
  <c r="Z22" i="3"/>
  <c r="AP22" i="3"/>
  <c r="AP23" i="3" s="1"/>
  <c r="AS22" i="3"/>
  <c r="T23" i="3"/>
  <c r="U23" i="3"/>
  <c r="V23" i="3"/>
  <c r="W23" i="3"/>
  <c r="X23" i="3"/>
  <c r="Y23" i="3"/>
  <c r="Z23" i="3"/>
  <c r="AE23" i="3"/>
  <c r="AF23" i="3"/>
  <c r="B24" i="3"/>
  <c r="T24" i="3"/>
  <c r="U24" i="3"/>
  <c r="V24" i="3"/>
  <c r="W24" i="3"/>
  <c r="X24" i="3"/>
  <c r="Y24" i="3"/>
  <c r="Z24" i="3"/>
  <c r="AE24" i="3"/>
  <c r="AF24" i="3"/>
  <c r="B25" i="3"/>
  <c r="T25" i="3"/>
  <c r="U25" i="3"/>
  <c r="V25" i="3"/>
  <c r="W25" i="3"/>
  <c r="X25" i="3"/>
  <c r="Y25" i="3"/>
  <c r="Z25" i="3"/>
  <c r="AE25" i="3"/>
  <c r="AP25" i="3"/>
  <c r="AS25" i="3"/>
  <c r="T26" i="3"/>
  <c r="U26" i="3"/>
  <c r="W26" i="3"/>
  <c r="X26" i="3"/>
  <c r="Y26" i="3"/>
  <c r="Z26" i="3"/>
  <c r="AE26" i="3"/>
  <c r="T27" i="3"/>
  <c r="U27" i="3"/>
  <c r="V27" i="3"/>
  <c r="W27" i="3"/>
  <c r="X27" i="3"/>
  <c r="Y27" i="3"/>
  <c r="Z27" i="3"/>
  <c r="AE27" i="3"/>
  <c r="T28" i="3"/>
  <c r="U28" i="3"/>
  <c r="V28" i="3"/>
  <c r="W28" i="3"/>
  <c r="X28" i="3"/>
  <c r="Y28" i="3"/>
  <c r="Z28" i="3"/>
  <c r="AE28" i="3"/>
  <c r="T29" i="3"/>
  <c r="U29" i="3"/>
  <c r="V29" i="3"/>
  <c r="W29" i="3"/>
  <c r="X29" i="3"/>
  <c r="Y29" i="3"/>
  <c r="Z29" i="3"/>
  <c r="AE29" i="3"/>
  <c r="T30" i="3"/>
  <c r="U30" i="3"/>
  <c r="V30" i="3"/>
  <c r="W30" i="3"/>
  <c r="X30" i="3"/>
  <c r="Y30" i="3"/>
  <c r="Z30" i="3"/>
  <c r="AE30" i="3"/>
  <c r="A31" i="3"/>
  <c r="T31" i="3"/>
  <c r="U31" i="3"/>
  <c r="V31" i="3"/>
  <c r="W31" i="3"/>
  <c r="X31" i="3"/>
  <c r="Y31" i="3"/>
  <c r="Z31" i="3"/>
  <c r="AE31" i="3"/>
  <c r="T32" i="3"/>
  <c r="U32" i="3"/>
  <c r="V32" i="3"/>
  <c r="W32" i="3"/>
  <c r="X32" i="3"/>
  <c r="AK14" i="3" s="1"/>
  <c r="AK35" i="3" s="1"/>
  <c r="Y32" i="3"/>
  <c r="Z32" i="3"/>
  <c r="AE32" i="3"/>
  <c r="T33" i="3"/>
  <c r="U33" i="3"/>
  <c r="V33" i="3"/>
  <c r="W33" i="3"/>
  <c r="X33" i="3"/>
  <c r="Y33" i="3"/>
  <c r="Z33" i="3"/>
  <c r="AE33" i="3"/>
  <c r="AJ33" i="3"/>
  <c r="J16" i="9" s="1"/>
  <c r="T34" i="3"/>
  <c r="U34" i="3"/>
  <c r="V34" i="3"/>
  <c r="W34" i="3"/>
  <c r="X34" i="3"/>
  <c r="Y34" i="3"/>
  <c r="Z34" i="3"/>
  <c r="AE34" i="3"/>
  <c r="A35" i="3"/>
  <c r="B35" i="3"/>
  <c r="T35" i="3"/>
  <c r="U35" i="3"/>
  <c r="V35" i="3"/>
  <c r="W35" i="3"/>
  <c r="X35" i="3"/>
  <c r="Y35" i="3"/>
  <c r="Z35" i="3"/>
  <c r="AE35" i="3"/>
  <c r="T36" i="3"/>
  <c r="U36" i="3"/>
  <c r="V36" i="3"/>
  <c r="W36" i="3"/>
  <c r="X36" i="3"/>
  <c r="Y36" i="3"/>
  <c r="Z36" i="3"/>
  <c r="AE36" i="3"/>
  <c r="T37" i="3"/>
  <c r="U37" i="3"/>
  <c r="V37" i="3"/>
  <c r="W37" i="3"/>
  <c r="X37" i="3"/>
  <c r="Y37" i="3"/>
  <c r="Z37" i="3"/>
  <c r="AE37" i="3"/>
  <c r="A38" i="3"/>
  <c r="T38" i="3"/>
  <c r="U38" i="3"/>
  <c r="V38" i="3"/>
  <c r="W38" i="3"/>
  <c r="X38" i="3"/>
  <c r="Y38" i="3"/>
  <c r="Z38" i="3"/>
  <c r="AE38" i="3"/>
  <c r="T39" i="3"/>
  <c r="U39" i="3"/>
  <c r="V39" i="3"/>
  <c r="W39" i="3"/>
  <c r="X39" i="3"/>
  <c r="Y39" i="3"/>
  <c r="Z39" i="3"/>
  <c r="AE39" i="3"/>
  <c r="T40" i="3"/>
  <c r="U40" i="3"/>
  <c r="AH16" i="3" s="1"/>
  <c r="AH37" i="3" s="1"/>
  <c r="H20" i="9" s="1"/>
  <c r="V40" i="3"/>
  <c r="W40" i="3"/>
  <c r="X40" i="3"/>
  <c r="Y40" i="3"/>
  <c r="Z40" i="3"/>
  <c r="AE40" i="3"/>
  <c r="V41" i="3"/>
  <c r="W41" i="3"/>
  <c r="X41" i="3"/>
  <c r="Y41" i="3"/>
  <c r="Z41" i="3"/>
  <c r="T42" i="3"/>
  <c r="U42" i="3"/>
  <c r="V42" i="3"/>
  <c r="W42" i="3"/>
  <c r="X42" i="3"/>
  <c r="Y42" i="3"/>
  <c r="Z42" i="3"/>
  <c r="B43" i="3"/>
  <c r="T43" i="3"/>
  <c r="U43" i="3"/>
  <c r="V43" i="3"/>
  <c r="W43" i="3"/>
  <c r="X43" i="3"/>
  <c r="Y43" i="3"/>
  <c r="Z43" i="3"/>
  <c r="T44" i="3"/>
  <c r="AG17" i="3" s="1"/>
  <c r="AG38" i="3" s="1"/>
  <c r="G21" i="9" s="1"/>
  <c r="U44" i="3"/>
  <c r="V44" i="3"/>
  <c r="W44" i="3"/>
  <c r="X44" i="3"/>
  <c r="Y44" i="3"/>
  <c r="Z44" i="3"/>
  <c r="B45" i="3"/>
  <c r="T45" i="3"/>
  <c r="U45" i="3"/>
  <c r="V45" i="3"/>
  <c r="W45" i="3"/>
  <c r="X45" i="3"/>
  <c r="AK17" i="3" s="1"/>
  <c r="Y45" i="3"/>
  <c r="Z45" i="3"/>
  <c r="B46" i="3"/>
  <c r="D46" i="3"/>
  <c r="T46" i="3" s="1"/>
  <c r="F46" i="3"/>
  <c r="U46" i="3" s="1"/>
  <c r="H46" i="3"/>
  <c r="V46" i="3" s="1"/>
  <c r="W46" i="3"/>
  <c r="X46" i="3"/>
  <c r="Y46" i="3"/>
  <c r="Z46" i="3"/>
  <c r="AM17" i="3" s="1"/>
  <c r="B47" i="3"/>
  <c r="B50" i="3" s="1"/>
  <c r="D47" i="3"/>
  <c r="T47" i="3" s="1"/>
  <c r="F47" i="3"/>
  <c r="U47" i="3" s="1"/>
  <c r="W47" i="3"/>
  <c r="X47" i="3"/>
  <c r="Y47" i="3"/>
  <c r="AL17" i="3" s="1"/>
  <c r="AL38" i="3" s="1"/>
  <c r="Z47" i="3"/>
  <c r="V48" i="3"/>
  <c r="W48" i="3"/>
  <c r="X48" i="3"/>
  <c r="Y48" i="3"/>
  <c r="Z48" i="3"/>
  <c r="AM15" i="3" s="1"/>
  <c r="AM36" i="3" s="1"/>
  <c r="B49" i="3"/>
  <c r="T49" i="3"/>
  <c r="U49" i="3"/>
  <c r="V49" i="3"/>
  <c r="W49" i="3"/>
  <c r="X49" i="3"/>
  <c r="Y49" i="3"/>
  <c r="Z49" i="3"/>
  <c r="T50" i="3"/>
  <c r="AG19" i="3" s="1"/>
  <c r="AG40" i="3" s="1"/>
  <c r="G23" i="9" s="1"/>
  <c r="U50" i="3"/>
  <c r="AH19" i="3" s="1"/>
  <c r="AH40" i="3" s="1"/>
  <c r="H23" i="9" s="1"/>
  <c r="V50" i="3"/>
  <c r="AI19" i="3" s="1"/>
  <c r="AI40" i="3" s="1"/>
  <c r="I23" i="9" s="1"/>
  <c r="W50" i="3"/>
  <c r="AJ19" i="3" s="1"/>
  <c r="AJ40" i="3" s="1"/>
  <c r="J23" i="9" s="1"/>
  <c r="X50" i="3"/>
  <c r="AK19" i="3"/>
  <c r="AK40" i="3" s="1"/>
  <c r="Y50" i="3"/>
  <c r="AL19" i="3" s="1"/>
  <c r="AL40" i="3" s="1"/>
  <c r="Z50" i="3"/>
  <c r="AM19" i="3" s="1"/>
  <c r="AM40" i="3" s="1"/>
  <c r="B51" i="3"/>
  <c r="H47" i="3" s="1"/>
  <c r="V47" i="3" s="1"/>
  <c r="T51" i="3"/>
  <c r="U51" i="3"/>
  <c r="V51" i="3"/>
  <c r="W51" i="3"/>
  <c r="AJ2" i="3"/>
  <c r="AJ23" i="3" s="1"/>
  <c r="J6" i="9" s="1"/>
  <c r="X51" i="3"/>
  <c r="Y51" i="3"/>
  <c r="Z51" i="3"/>
  <c r="B52" i="3"/>
  <c r="B54" i="3" s="1"/>
  <c r="T52" i="3"/>
  <c r="U52" i="3"/>
  <c r="V52" i="3"/>
  <c r="W52" i="3"/>
  <c r="X52" i="3"/>
  <c r="Y52" i="3"/>
  <c r="Z52" i="3"/>
  <c r="T53" i="3"/>
  <c r="AG3" i="3" s="1"/>
  <c r="AG24" i="3" s="1"/>
  <c r="G7" i="9" s="1"/>
  <c r="U53" i="3"/>
  <c r="AH3" i="3" s="1"/>
  <c r="AH24" i="3" s="1"/>
  <c r="H7" i="9" s="1"/>
  <c r="V53" i="3"/>
  <c r="W53" i="3"/>
  <c r="X53" i="3"/>
  <c r="Y53" i="3"/>
  <c r="Z53" i="3"/>
  <c r="T54" i="3"/>
  <c r="U54" i="3"/>
  <c r="V54" i="3"/>
  <c r="W54" i="3"/>
  <c r="X54" i="3"/>
  <c r="Y54" i="3"/>
  <c r="Z54" i="3"/>
  <c r="AM3" i="3" s="1"/>
  <c r="AM24" i="3" s="1"/>
  <c r="B55" i="3"/>
  <c r="T55" i="3"/>
  <c r="U55" i="3"/>
  <c r="V55" i="3"/>
  <c r="W55" i="3"/>
  <c r="X55" i="3"/>
  <c r="Y55" i="3"/>
  <c r="Z55" i="3"/>
  <c r="T56" i="3"/>
  <c r="U56" i="3"/>
  <c r="V56" i="3"/>
  <c r="W56" i="3"/>
  <c r="AJ4" i="3" s="1"/>
  <c r="AJ25" i="3" s="1"/>
  <c r="J8" i="9" s="1"/>
  <c r="X56" i="3"/>
  <c r="Y56" i="3"/>
  <c r="Z56" i="3"/>
  <c r="B57" i="3"/>
  <c r="T57" i="3"/>
  <c r="U57" i="3"/>
  <c r="V57" i="3"/>
  <c r="W57" i="3"/>
  <c r="X57" i="3"/>
  <c r="Y57" i="3"/>
  <c r="Z57" i="3"/>
  <c r="B58" i="3"/>
  <c r="D58" i="3"/>
  <c r="B61" i="3" s="1"/>
  <c r="V58" i="3"/>
  <c r="W58" i="3"/>
  <c r="X58" i="3"/>
  <c r="Y58" i="3"/>
  <c r="Z58" i="3"/>
  <c r="B59" i="3"/>
  <c r="F58" i="3" s="1"/>
  <c r="U58" i="3" s="1"/>
  <c r="AH6" i="3" s="1"/>
  <c r="AH27" i="3" s="1"/>
  <c r="H10" i="9" s="1"/>
  <c r="T59" i="3"/>
  <c r="U59" i="3"/>
  <c r="V59" i="3"/>
  <c r="W59" i="3"/>
  <c r="AJ6" i="3" s="1"/>
  <c r="AJ27" i="3" s="1"/>
  <c r="J10" i="9" s="1"/>
  <c r="X59" i="3"/>
  <c r="AK6" i="3" s="1"/>
  <c r="AK27" i="3" s="1"/>
  <c r="Y59" i="3"/>
  <c r="Z59" i="3"/>
  <c r="T60" i="3"/>
  <c r="U60" i="3"/>
  <c r="V60" i="3"/>
  <c r="W60" i="3"/>
  <c r="X60" i="3"/>
  <c r="Y60" i="3"/>
  <c r="Z60" i="3"/>
  <c r="T61" i="3"/>
  <c r="AG7" i="3"/>
  <c r="AG28" i="3" s="1"/>
  <c r="G11" i="9" s="1"/>
  <c r="U61" i="3"/>
  <c r="AH7" i="3" s="1"/>
  <c r="AH28" i="3" s="1"/>
  <c r="H11" i="9" s="1"/>
  <c r="V61" i="3"/>
  <c r="AI7" i="3" s="1"/>
  <c r="AI28" i="3" s="1"/>
  <c r="I11" i="9" s="1"/>
  <c r="W61" i="3"/>
  <c r="AJ7" i="3"/>
  <c r="AJ28" i="3" s="1"/>
  <c r="J11" i="9" s="1"/>
  <c r="X61" i="3"/>
  <c r="AK7" i="3" s="1"/>
  <c r="AK28" i="3" s="1"/>
  <c r="Y61" i="3"/>
  <c r="AL7" i="3"/>
  <c r="AL28" i="3" s="1"/>
  <c r="Z61" i="3"/>
  <c r="AM7" i="3" s="1"/>
  <c r="AM28" i="3" s="1"/>
  <c r="B62" i="3"/>
  <c r="F62" i="3"/>
  <c r="B72" i="3" s="1"/>
  <c r="T62" i="3"/>
  <c r="AG9" i="3" s="1"/>
  <c r="AG30" i="3" s="1"/>
  <c r="G13" i="9" s="1"/>
  <c r="V62" i="3"/>
  <c r="W62" i="3"/>
  <c r="X62" i="3"/>
  <c r="Y62" i="3"/>
  <c r="Z62" i="3"/>
  <c r="B63" i="3"/>
  <c r="D63" i="3"/>
  <c r="T63" i="3" s="1"/>
  <c r="F63" i="3"/>
  <c r="U63" i="3" s="1"/>
  <c r="H63" i="3"/>
  <c r="V63" i="3" s="1"/>
  <c r="W63" i="3"/>
  <c r="X63" i="3"/>
  <c r="Y63" i="3"/>
  <c r="Z63" i="3"/>
  <c r="T64" i="3"/>
  <c r="U64" i="3"/>
  <c r="V64" i="3"/>
  <c r="W64" i="3"/>
  <c r="X64" i="3"/>
  <c r="Y64" i="3"/>
  <c r="Z64" i="3"/>
  <c r="T65" i="3"/>
  <c r="U65" i="3"/>
  <c r="V65" i="3"/>
  <c r="W65" i="3"/>
  <c r="X65" i="3"/>
  <c r="Y65" i="3"/>
  <c r="Z65" i="3"/>
  <c r="T66" i="3"/>
  <c r="U66" i="3"/>
  <c r="V66" i="3"/>
  <c r="W66" i="3"/>
  <c r="X66" i="3"/>
  <c r="Y66" i="3"/>
  <c r="Z66" i="3"/>
  <c r="AM9" i="3" s="1"/>
  <c r="AM30" i="3" s="1"/>
  <c r="T67" i="3"/>
  <c r="U67" i="3"/>
  <c r="V67" i="3"/>
  <c r="W67" i="3"/>
  <c r="X67" i="3"/>
  <c r="Y67" i="3"/>
  <c r="Z67" i="3"/>
  <c r="B68" i="3"/>
  <c r="T68" i="3"/>
  <c r="U68" i="3"/>
  <c r="V68" i="3"/>
  <c r="W68" i="3"/>
  <c r="X68" i="3"/>
  <c r="Y68" i="3"/>
  <c r="Z68" i="3"/>
  <c r="T69" i="3"/>
  <c r="U69" i="3"/>
  <c r="V69" i="3"/>
  <c r="W69" i="3"/>
  <c r="X69" i="3"/>
  <c r="Y69" i="3"/>
  <c r="Z69" i="3"/>
  <c r="T70" i="3"/>
  <c r="U70" i="3"/>
  <c r="V70" i="3"/>
  <c r="W70" i="3"/>
  <c r="X70" i="3"/>
  <c r="Y70" i="3"/>
  <c r="Z70" i="3"/>
  <c r="T71" i="3"/>
  <c r="AG8" i="3"/>
  <c r="AG29" i="3" s="1"/>
  <c r="G12" i="9" s="1"/>
  <c r="U71" i="3"/>
  <c r="V71" i="3"/>
  <c r="W71" i="3"/>
  <c r="X71" i="3"/>
  <c r="AK8" i="3" s="1"/>
  <c r="AK29" i="3" s="1"/>
  <c r="Y71" i="3"/>
  <c r="AL8" i="3" s="1"/>
  <c r="AL29" i="3" s="1"/>
  <c r="Z71" i="3"/>
  <c r="T72" i="3"/>
  <c r="U72" i="3"/>
  <c r="V72" i="3"/>
  <c r="W72" i="3"/>
  <c r="X72" i="3"/>
  <c r="Y72" i="3"/>
  <c r="Z72" i="3"/>
  <c r="AM8" i="3" s="1"/>
  <c r="AM29" i="3" s="1"/>
  <c r="T73" i="3"/>
  <c r="U73" i="3"/>
  <c r="V73" i="3"/>
  <c r="W73" i="3"/>
  <c r="X73" i="3"/>
  <c r="Y73" i="3"/>
  <c r="Z73" i="3"/>
  <c r="T74" i="3"/>
  <c r="AG10" i="3" s="1"/>
  <c r="AG31" i="3" s="1"/>
  <c r="G14" i="9" s="1"/>
  <c r="U74" i="3"/>
  <c r="AH10" i="3" s="1"/>
  <c r="AH31" i="3" s="1"/>
  <c r="H14" i="9" s="1"/>
  <c r="V74" i="3"/>
  <c r="AI10" i="3"/>
  <c r="AI31" i="3" s="1"/>
  <c r="I14" i="9" s="1"/>
  <c r="W74" i="3"/>
  <c r="AJ10" i="3" s="1"/>
  <c r="AJ31" i="3" s="1"/>
  <c r="J14" i="9" s="1"/>
  <c r="X74" i="3"/>
  <c r="AK10" i="3" s="1"/>
  <c r="AK31" i="3" s="1"/>
  <c r="Y74" i="3"/>
  <c r="AL10" i="3" s="1"/>
  <c r="AL31" i="3" s="1"/>
  <c r="Z74" i="3"/>
  <c r="AM10" i="3" s="1"/>
  <c r="AM31" i="3" s="1"/>
  <c r="T75" i="3"/>
  <c r="U75" i="3"/>
  <c r="V75" i="3"/>
  <c r="W75" i="3"/>
  <c r="X75" i="3"/>
  <c r="Y75" i="3"/>
  <c r="Z75" i="3"/>
  <c r="D76" i="3"/>
  <c r="T76" i="3" s="1"/>
  <c r="U76" i="3"/>
  <c r="V76" i="3"/>
  <c r="W76" i="3"/>
  <c r="X76" i="3"/>
  <c r="Y76" i="3"/>
  <c r="Z76" i="3"/>
  <c r="C81" i="3"/>
  <c r="C82" i="3" s="1"/>
  <c r="C83" i="3" s="1"/>
  <c r="C84" i="3" s="1"/>
  <c r="C85" i="3" s="1"/>
  <c r="C86" i="3" s="1"/>
  <c r="C87" i="3" s="1"/>
  <c r="C88" i="3" s="1"/>
  <c r="C89" i="3" s="1"/>
  <c r="C90" i="3" s="1"/>
  <c r="C91" i="3" s="1"/>
  <c r="C92" i="3" s="1"/>
  <c r="C93" i="3" s="1"/>
  <c r="C94" i="3" s="1"/>
  <c r="C95" i="3" s="1"/>
  <c r="C96" i="3" s="1"/>
  <c r="C97" i="3" s="1"/>
  <c r="C98" i="3" s="1"/>
  <c r="D48" i="3"/>
  <c r="T48" i="3" s="1"/>
  <c r="E99" i="3"/>
  <c r="E100" i="3" s="1"/>
  <c r="F99" i="3"/>
  <c r="H8" i="6"/>
  <c r="M8" i="6" s="1"/>
  <c r="N8" i="6"/>
  <c r="H9" i="6"/>
  <c r="N9" i="6"/>
  <c r="H10" i="6"/>
  <c r="M9" i="6" s="1"/>
  <c r="N10" i="6"/>
  <c r="N11" i="6"/>
  <c r="R14" i="6" s="1"/>
  <c r="H12" i="6"/>
  <c r="L12" i="6"/>
  <c r="N12" i="6"/>
  <c r="R15" i="6" s="1"/>
  <c r="H13" i="6"/>
  <c r="L13" i="6"/>
  <c r="N13" i="6"/>
  <c r="R16" i="6" s="1"/>
  <c r="H14" i="6"/>
  <c r="M11" i="6" s="1"/>
  <c r="L14" i="6"/>
  <c r="N14" i="6"/>
  <c r="R17" i="6" s="1"/>
  <c r="H15" i="6"/>
  <c r="M12" i="6"/>
  <c r="L15" i="6"/>
  <c r="N15" i="6"/>
  <c r="R18" i="6" s="1"/>
  <c r="H16" i="6"/>
  <c r="M13" i="6" s="1"/>
  <c r="L16" i="6"/>
  <c r="N16" i="6"/>
  <c r="R19" i="6" s="1"/>
  <c r="H17" i="6"/>
  <c r="M14" i="6"/>
  <c r="L17" i="6"/>
  <c r="N17" i="6"/>
  <c r="R20" i="6" s="1"/>
  <c r="H18" i="6"/>
  <c r="M15" i="6" s="1"/>
  <c r="L18" i="6"/>
  <c r="N18" i="6"/>
  <c r="R21" i="6" s="1"/>
  <c r="H19" i="6"/>
  <c r="M16" i="6" s="1"/>
  <c r="L19" i="6"/>
  <c r="H20" i="6"/>
  <c r="M17" i="6" s="1"/>
  <c r="L20" i="6"/>
  <c r="H21" i="6"/>
  <c r="M18" i="6" s="1"/>
  <c r="L21" i="6"/>
  <c r="H22" i="6"/>
  <c r="M19" i="6" s="1"/>
  <c r="L22" i="6"/>
  <c r="H23" i="6"/>
  <c r="M20" i="6" s="1"/>
  <c r="L23" i="6"/>
  <c r="H24" i="6"/>
  <c r="M25" i="6"/>
  <c r="L24" i="6"/>
  <c r="N24" i="6"/>
  <c r="R27" i="6" s="1"/>
  <c r="H25" i="6"/>
  <c r="M22" i="6" s="1"/>
  <c r="L25" i="6"/>
  <c r="H26" i="6"/>
  <c r="M23" i="6" s="1"/>
  <c r="H27" i="6"/>
  <c r="M24" i="6" s="1"/>
  <c r="H28" i="6"/>
  <c r="F29" i="6"/>
  <c r="G29" i="6"/>
  <c r="I29" i="6"/>
  <c r="H34" i="6"/>
  <c r="N34" i="6"/>
  <c r="H35" i="6"/>
  <c r="N35" i="6"/>
  <c r="G36" i="6"/>
  <c r="G55" i="6" s="1"/>
  <c r="H36" i="6"/>
  <c r="N36" i="6"/>
  <c r="N37" i="6"/>
  <c r="R40" i="6" s="1"/>
  <c r="H38" i="6"/>
  <c r="N38" i="6"/>
  <c r="R41" i="6" s="1"/>
  <c r="H39" i="6"/>
  <c r="N39" i="6"/>
  <c r="R42" i="6" s="1"/>
  <c r="D40" i="6"/>
  <c r="D92" i="6" s="1"/>
  <c r="H40" i="6"/>
  <c r="M37" i="6" s="1"/>
  <c r="N40" i="6"/>
  <c r="R43" i="6" s="1"/>
  <c r="D41" i="6"/>
  <c r="L39" i="6"/>
  <c r="H41" i="6"/>
  <c r="M38" i="6" s="1"/>
  <c r="N41" i="6"/>
  <c r="R44" i="6" s="1"/>
  <c r="D42" i="6"/>
  <c r="L40" i="6" s="1"/>
  <c r="H42" i="6"/>
  <c r="M39" i="6" s="1"/>
  <c r="N42" i="6"/>
  <c r="R45" i="6" s="1"/>
  <c r="D43" i="6"/>
  <c r="L41" i="6" s="1"/>
  <c r="H43" i="6"/>
  <c r="M40" i="6" s="1"/>
  <c r="N43" i="6"/>
  <c r="R46" i="6" s="1"/>
  <c r="D44" i="6"/>
  <c r="L42" i="6"/>
  <c r="H44" i="6"/>
  <c r="M41" i="6" s="1"/>
  <c r="N44" i="6"/>
  <c r="R47" i="6" s="1"/>
  <c r="D45" i="6"/>
  <c r="D151" i="6" s="1"/>
  <c r="L148" i="6" s="1"/>
  <c r="H45" i="6"/>
  <c r="M42" i="6" s="1"/>
  <c r="D46" i="6"/>
  <c r="L44" i="6" s="1"/>
  <c r="H46" i="6"/>
  <c r="M43" i="6" s="1"/>
  <c r="D47" i="6"/>
  <c r="L45" i="6" s="1"/>
  <c r="H47" i="6"/>
  <c r="M44" i="6" s="1"/>
  <c r="D48" i="6"/>
  <c r="H48" i="6"/>
  <c r="M45" i="6" s="1"/>
  <c r="D49" i="6"/>
  <c r="L47" i="6" s="1"/>
  <c r="H49" i="6"/>
  <c r="M46" i="6"/>
  <c r="D50" i="6"/>
  <c r="D102" i="6" s="1"/>
  <c r="L99" i="6" s="1"/>
  <c r="H50" i="6"/>
  <c r="L50" i="6"/>
  <c r="N50" i="6"/>
  <c r="R53" i="6" s="1"/>
  <c r="D51" i="6"/>
  <c r="H51" i="6"/>
  <c r="M48" i="6" s="1"/>
  <c r="D52" i="6"/>
  <c r="H52" i="6"/>
  <c r="M49" i="6" s="1"/>
  <c r="D53" i="6"/>
  <c r="L51" i="6" s="1"/>
  <c r="H53" i="6"/>
  <c r="M50" i="6" s="1"/>
  <c r="D54" i="6"/>
  <c r="D106" i="6" s="1"/>
  <c r="L103" i="6" s="1"/>
  <c r="H54" i="6"/>
  <c r="M51" i="6"/>
  <c r="F55" i="6"/>
  <c r="I55" i="6"/>
  <c r="H60" i="6"/>
  <c r="M60" i="6" s="1"/>
  <c r="J60" i="6"/>
  <c r="N60" i="6"/>
  <c r="H61" i="6"/>
  <c r="J61" i="6"/>
  <c r="N61" i="6"/>
  <c r="H62" i="6"/>
  <c r="J62" i="6" s="1"/>
  <c r="N62" i="6"/>
  <c r="N63" i="6"/>
  <c r="R66" i="6" s="1"/>
  <c r="H64" i="6"/>
  <c r="M62" i="6" s="1"/>
  <c r="J64" i="6"/>
  <c r="N64" i="6"/>
  <c r="R67" i="6" s="1"/>
  <c r="H65" i="6"/>
  <c r="N65" i="6"/>
  <c r="R68" i="6" s="1"/>
  <c r="D66" i="6"/>
  <c r="D172" i="6" s="1"/>
  <c r="H66" i="6"/>
  <c r="M63" i="6" s="1"/>
  <c r="N66" i="6"/>
  <c r="R69" i="6" s="1"/>
  <c r="D67" i="6"/>
  <c r="L64" i="6"/>
  <c r="H67" i="6"/>
  <c r="M64" i="6" s="1"/>
  <c r="N67" i="6"/>
  <c r="R70" i="6" s="1"/>
  <c r="D68" i="6"/>
  <c r="D174" i="6" s="1"/>
  <c r="L65" i="6"/>
  <c r="H68" i="6"/>
  <c r="M65" i="6" s="1"/>
  <c r="N68" i="6"/>
  <c r="R71" i="6" s="1"/>
  <c r="D69" i="6"/>
  <c r="L66" i="6" s="1"/>
  <c r="H69" i="6"/>
  <c r="M66" i="6"/>
  <c r="N69" i="6"/>
  <c r="R72" i="6" s="1"/>
  <c r="D70" i="6"/>
  <c r="L67" i="6" s="1"/>
  <c r="H70" i="6"/>
  <c r="M67" i="6" s="1"/>
  <c r="N70" i="6"/>
  <c r="R73" i="6" s="1"/>
  <c r="D71" i="6"/>
  <c r="L68" i="6" s="1"/>
  <c r="H71" i="6"/>
  <c r="M68" i="6" s="1"/>
  <c r="D72" i="6"/>
  <c r="H72" i="6"/>
  <c r="M69" i="6" s="1"/>
  <c r="D73" i="6"/>
  <c r="L70" i="6" s="1"/>
  <c r="H73" i="6"/>
  <c r="M70" i="6" s="1"/>
  <c r="D74" i="6"/>
  <c r="H74" i="6"/>
  <c r="D75" i="6"/>
  <c r="H75" i="6"/>
  <c r="M72" i="6" s="1"/>
  <c r="D76" i="6"/>
  <c r="L73" i="6" s="1"/>
  <c r="H76" i="6"/>
  <c r="N76" i="6"/>
  <c r="R79" i="6" s="1"/>
  <c r="D77" i="6"/>
  <c r="L74" i="6" s="1"/>
  <c r="H77" i="6"/>
  <c r="M74" i="6" s="1"/>
  <c r="D78" i="6"/>
  <c r="L75" i="6" s="1"/>
  <c r="H78" i="6"/>
  <c r="M75" i="6" s="1"/>
  <c r="D79" i="6"/>
  <c r="L76" i="6" s="1"/>
  <c r="H79" i="6"/>
  <c r="M76" i="6" s="1"/>
  <c r="D80" i="6"/>
  <c r="L77" i="6" s="1"/>
  <c r="H80" i="6"/>
  <c r="M77" i="6" s="1"/>
  <c r="F81" i="6"/>
  <c r="G81" i="6"/>
  <c r="I81" i="6"/>
  <c r="H86" i="6"/>
  <c r="J86" i="6"/>
  <c r="N86" i="6"/>
  <c r="H87" i="6"/>
  <c r="J87" i="6"/>
  <c r="N87" i="6"/>
  <c r="H88" i="6"/>
  <c r="N88" i="6"/>
  <c r="N89" i="6"/>
  <c r="R92" i="6" s="1"/>
  <c r="H90" i="6"/>
  <c r="N90" i="6"/>
  <c r="R93" i="6" s="1"/>
  <c r="H91" i="6"/>
  <c r="N91" i="6"/>
  <c r="R94" i="6" s="1"/>
  <c r="H92" i="6"/>
  <c r="M89" i="6" s="1"/>
  <c r="N92" i="6"/>
  <c r="R95" i="6" s="1"/>
  <c r="D93" i="6"/>
  <c r="L90" i="6" s="1"/>
  <c r="H93" i="6"/>
  <c r="M90" i="6" s="1"/>
  <c r="N93" i="6"/>
  <c r="R96" i="6" s="1"/>
  <c r="D94" i="6"/>
  <c r="L91" i="6"/>
  <c r="H94" i="6"/>
  <c r="M91" i="6" s="1"/>
  <c r="N94" i="6"/>
  <c r="R97" i="6" s="1"/>
  <c r="H95" i="6"/>
  <c r="M92" i="6" s="1"/>
  <c r="N95" i="6"/>
  <c r="R98" i="6" s="1"/>
  <c r="D96" i="6"/>
  <c r="L93" i="6"/>
  <c r="H96" i="6"/>
  <c r="M93" i="6" s="1"/>
  <c r="N96" i="6"/>
  <c r="R99" i="6" s="1"/>
  <c r="H97" i="6"/>
  <c r="M94" i="6" s="1"/>
  <c r="M97" i="6"/>
  <c r="D98" i="6"/>
  <c r="L95" i="6" s="1"/>
  <c r="H98" i="6"/>
  <c r="M95" i="6" s="1"/>
  <c r="D99" i="6"/>
  <c r="L96" i="6" s="1"/>
  <c r="H99" i="6"/>
  <c r="M96" i="6" s="1"/>
  <c r="H100" i="6"/>
  <c r="D101" i="6"/>
  <c r="L98" i="6" s="1"/>
  <c r="H101" i="6"/>
  <c r="H102" i="6"/>
  <c r="L102" i="6"/>
  <c r="N102" i="6"/>
  <c r="R105" i="6" s="1"/>
  <c r="H103" i="6"/>
  <c r="M100" i="6" s="1"/>
  <c r="D104" i="6"/>
  <c r="L101" i="6" s="1"/>
  <c r="H104" i="6"/>
  <c r="M101" i="6" s="1"/>
  <c r="D105" i="6"/>
  <c r="H105" i="6"/>
  <c r="M102" i="6"/>
  <c r="H106" i="6"/>
  <c r="F107" i="6"/>
  <c r="G107" i="6"/>
  <c r="I107" i="6"/>
  <c r="X113" i="6"/>
  <c r="H114" i="6"/>
  <c r="I114" i="6" s="1"/>
  <c r="J114" i="6"/>
  <c r="U114" i="6"/>
  <c r="M114" i="6" s="1"/>
  <c r="H115" i="6"/>
  <c r="I115" i="6" s="1"/>
  <c r="X115" i="6" s="1"/>
  <c r="J115" i="6"/>
  <c r="U115" i="6"/>
  <c r="V115" i="6" s="1"/>
  <c r="H116" i="6"/>
  <c r="I116" i="6"/>
  <c r="X116" i="6" s="1"/>
  <c r="J116" i="6"/>
  <c r="U116" i="6"/>
  <c r="U117" i="6"/>
  <c r="V117" i="6" s="1"/>
  <c r="X117" i="6"/>
  <c r="H118" i="6"/>
  <c r="I118" i="6" s="1"/>
  <c r="X118" i="6" s="1"/>
  <c r="U118" i="6"/>
  <c r="V118" i="6" s="1"/>
  <c r="H119" i="6"/>
  <c r="I119" i="6"/>
  <c r="X119" i="6" s="1"/>
  <c r="U119" i="6"/>
  <c r="V119" i="6"/>
  <c r="D120" i="6"/>
  <c r="H120" i="6"/>
  <c r="I120" i="6" s="1"/>
  <c r="X120" i="6"/>
  <c r="Q120" i="6"/>
  <c r="U120" i="6"/>
  <c r="M117" i="6" s="1"/>
  <c r="D121" i="6"/>
  <c r="L118" i="6"/>
  <c r="H121" i="6"/>
  <c r="I121" i="6" s="1"/>
  <c r="X121" i="6" s="1"/>
  <c r="Q121" i="6"/>
  <c r="Z118" i="6"/>
  <c r="U121" i="6"/>
  <c r="M118" i="6" s="1"/>
  <c r="D122" i="6"/>
  <c r="L119" i="6" s="1"/>
  <c r="H122" i="6"/>
  <c r="Q122" i="6"/>
  <c r="Z119" i="6" s="1"/>
  <c r="U122" i="6"/>
  <c r="M119" i="6" s="1"/>
  <c r="D123" i="6"/>
  <c r="L120" i="6"/>
  <c r="H123" i="6"/>
  <c r="I123" i="6" s="1"/>
  <c r="X123" i="6" s="1"/>
  <c r="Q123" i="6"/>
  <c r="Z120" i="6" s="1"/>
  <c r="U123" i="6"/>
  <c r="M120" i="6" s="1"/>
  <c r="D124" i="6"/>
  <c r="L121" i="6" s="1"/>
  <c r="H124" i="6"/>
  <c r="I124" i="6" s="1"/>
  <c r="X124" i="6" s="1"/>
  <c r="AC121" i="6" s="1"/>
  <c r="Q124" i="6"/>
  <c r="Z121" i="6"/>
  <c r="U124" i="6"/>
  <c r="M121" i="6" s="1"/>
  <c r="V124" i="6"/>
  <c r="D125" i="6"/>
  <c r="L122" i="6" s="1"/>
  <c r="H125" i="6"/>
  <c r="I125" i="6" s="1"/>
  <c r="X125" i="6"/>
  <c r="AB122" i="6" s="1"/>
  <c r="Q125" i="6"/>
  <c r="Z122" i="6" s="1"/>
  <c r="U125" i="6"/>
  <c r="M122" i="6" s="1"/>
  <c r="D126" i="6"/>
  <c r="L123" i="6"/>
  <c r="H126" i="6"/>
  <c r="I126" i="6" s="1"/>
  <c r="X126" i="6" s="1"/>
  <c r="Q126" i="6"/>
  <c r="Z123" i="6" s="1"/>
  <c r="U126" i="6"/>
  <c r="M123" i="6" s="1"/>
  <c r="AY126" i="6"/>
  <c r="D127" i="6"/>
  <c r="L124" i="6" s="1"/>
  <c r="H127" i="6"/>
  <c r="I127" i="6"/>
  <c r="Q127" i="6"/>
  <c r="Z124" i="6" s="1"/>
  <c r="U127" i="6"/>
  <c r="M124" i="6" s="1"/>
  <c r="D128" i="6"/>
  <c r="L125" i="6" s="1"/>
  <c r="H128" i="6"/>
  <c r="I128" i="6" s="1"/>
  <c r="X128" i="6" s="1"/>
  <c r="Q128" i="6"/>
  <c r="Z125" i="6" s="1"/>
  <c r="U128" i="6"/>
  <c r="D129" i="6"/>
  <c r="L126" i="6" s="1"/>
  <c r="H129" i="6"/>
  <c r="I129" i="6" s="1"/>
  <c r="X129" i="6" s="1"/>
  <c r="Q129" i="6"/>
  <c r="Z126" i="6" s="1"/>
  <c r="U129" i="6"/>
  <c r="M126" i="6" s="1"/>
  <c r="D130" i="6"/>
  <c r="L127" i="6" s="1"/>
  <c r="H130" i="6"/>
  <c r="I130" i="6" s="1"/>
  <c r="X130" i="6" s="1"/>
  <c r="L130" i="6"/>
  <c r="Q130" i="6"/>
  <c r="Z127" i="6"/>
  <c r="U130" i="6"/>
  <c r="M127" i="6" s="1"/>
  <c r="D131" i="6"/>
  <c r="L128" i="6" s="1"/>
  <c r="H131" i="6"/>
  <c r="I131" i="6" s="1"/>
  <c r="X131" i="6" s="1"/>
  <c r="Q131" i="6"/>
  <c r="Z128" i="6" s="1"/>
  <c r="U131" i="6"/>
  <c r="M128" i="6"/>
  <c r="D132" i="6"/>
  <c r="L129" i="6" s="1"/>
  <c r="H132" i="6"/>
  <c r="I132" i="6" s="1"/>
  <c r="X132" i="6" s="1"/>
  <c r="Q132" i="6"/>
  <c r="Z129" i="6" s="1"/>
  <c r="U132" i="6"/>
  <c r="V132" i="6" s="1"/>
  <c r="N129" i="6" s="1"/>
  <c r="I206" i="6" s="1"/>
  <c r="I269" i="6" s="1"/>
  <c r="AF132" i="6"/>
  <c r="D133" i="6"/>
  <c r="H133" i="6"/>
  <c r="I133" i="6" s="1"/>
  <c r="X133" i="6" s="1"/>
  <c r="Q133" i="6"/>
  <c r="Z130" i="6" s="1"/>
  <c r="U133" i="6"/>
  <c r="M130" i="6"/>
  <c r="V133" i="6"/>
  <c r="N130" i="6" s="1"/>
  <c r="I207" i="6" s="1"/>
  <c r="D134" i="6"/>
  <c r="L131" i="6" s="1"/>
  <c r="H134" i="6"/>
  <c r="I134" i="6" s="1"/>
  <c r="X134" i="6" s="1"/>
  <c r="AC131" i="6" s="1"/>
  <c r="Q134" i="6"/>
  <c r="Z131" i="6" s="1"/>
  <c r="U134" i="6"/>
  <c r="M131" i="6" s="1"/>
  <c r="F135" i="6"/>
  <c r="G135" i="6"/>
  <c r="S135" i="6"/>
  <c r="T135" i="6"/>
  <c r="AI138" i="6"/>
  <c r="AI139" i="6"/>
  <c r="AJ139" i="6"/>
  <c r="AN139" i="6"/>
  <c r="H140" i="6"/>
  <c r="AE140" i="6"/>
  <c r="AP140" i="6" s="1"/>
  <c r="AI140" i="6"/>
  <c r="AJ140" i="6"/>
  <c r="AR140" i="6"/>
  <c r="H141" i="6"/>
  <c r="AC141" i="6"/>
  <c r="AE141" i="6"/>
  <c r="AP141" i="6" s="1"/>
  <c r="AI141" i="6"/>
  <c r="AJ141" i="6"/>
  <c r="AL141" i="6"/>
  <c r="AX141" i="6"/>
  <c r="AZ141" i="6"/>
  <c r="H142" i="6"/>
  <c r="M141" i="6" s="1"/>
  <c r="AC142" i="6"/>
  <c r="AI142" i="6"/>
  <c r="AJ142" i="6"/>
  <c r="AP142" i="6"/>
  <c r="AL142" i="6" s="1"/>
  <c r="AX142" i="6"/>
  <c r="AC143" i="6"/>
  <c r="AE143" i="6"/>
  <c r="AP143" i="6" s="1"/>
  <c r="AI143" i="6"/>
  <c r="AX143" i="6"/>
  <c r="AZ143" i="6"/>
  <c r="AJ143" i="6" s="1"/>
  <c r="H144" i="6"/>
  <c r="M142" i="6" s="1"/>
  <c r="X144" i="6"/>
  <c r="AC144" i="6" s="1"/>
  <c r="AE144" i="6"/>
  <c r="AP144" i="6" s="1"/>
  <c r="AI144" i="6"/>
  <c r="AS144" i="6"/>
  <c r="AX144" i="6" s="1"/>
  <c r="AZ144" i="6"/>
  <c r="AJ144" i="6" s="1"/>
  <c r="H145" i="6"/>
  <c r="I145" i="6" s="1"/>
  <c r="X145" i="6"/>
  <c r="AC145" i="6"/>
  <c r="AI145" i="6"/>
  <c r="AJ145" i="6"/>
  <c r="AL145" i="6" s="1"/>
  <c r="AP145" i="6"/>
  <c r="AS145" i="6"/>
  <c r="AX145" i="6"/>
  <c r="H146" i="6"/>
  <c r="M143" i="6" s="1"/>
  <c r="X146" i="6"/>
  <c r="AC146" i="6"/>
  <c r="AI146" i="6"/>
  <c r="AJ146" i="6"/>
  <c r="AP146" i="6"/>
  <c r="AS146" i="6"/>
  <c r="AX146" i="6"/>
  <c r="D147" i="6"/>
  <c r="L144" i="6"/>
  <c r="H147" i="6"/>
  <c r="X147" i="6"/>
  <c r="AC147" i="6"/>
  <c r="AI147" i="6"/>
  <c r="AJ147" i="6"/>
  <c r="AP147" i="6"/>
  <c r="AS147" i="6"/>
  <c r="AX147" i="6" s="1"/>
  <c r="D148" i="6"/>
  <c r="L145" i="6"/>
  <c r="H148" i="6"/>
  <c r="AI148" i="6"/>
  <c r="D149" i="6"/>
  <c r="L146" i="6" s="1"/>
  <c r="H149" i="6"/>
  <c r="M146" i="6" s="1"/>
  <c r="I149" i="6"/>
  <c r="N146" i="6" s="1"/>
  <c r="J197" i="6" s="1"/>
  <c r="AK197" i="6" s="1"/>
  <c r="AC149" i="6"/>
  <c r="AE149" i="6"/>
  <c r="AP149" i="6" s="1"/>
  <c r="AI149" i="6"/>
  <c r="AX149" i="6"/>
  <c r="AZ149" i="6"/>
  <c r="AJ149" i="6" s="1"/>
  <c r="D150" i="6"/>
  <c r="L147" i="6" s="1"/>
  <c r="H150" i="6"/>
  <c r="M147" i="6" s="1"/>
  <c r="X150" i="6"/>
  <c r="AC150" i="6" s="1"/>
  <c r="AE150" i="6"/>
  <c r="AP150" i="6" s="1"/>
  <c r="AI150" i="6"/>
  <c r="AS150" i="6"/>
  <c r="AX150" i="6" s="1"/>
  <c r="AZ150" i="6"/>
  <c r="AJ150" i="6" s="1"/>
  <c r="H151" i="6"/>
  <c r="M148" i="6" s="1"/>
  <c r="X151" i="6"/>
  <c r="AC151" i="6" s="1"/>
  <c r="AI151" i="6"/>
  <c r="AJ151" i="6"/>
  <c r="AP151" i="6"/>
  <c r="AS151" i="6"/>
  <c r="AX151" i="6"/>
  <c r="D152" i="6"/>
  <c r="L149" i="6" s="1"/>
  <c r="H152" i="6"/>
  <c r="I152" i="6" s="1"/>
  <c r="N149" i="6" s="1"/>
  <c r="J200" i="6" s="1"/>
  <c r="AK200" i="6" s="1"/>
  <c r="D153" i="6"/>
  <c r="L150" i="6" s="1"/>
  <c r="H153" i="6"/>
  <c r="M150" i="6" s="1"/>
  <c r="AE153" i="6"/>
  <c r="AP153" i="6" s="1"/>
  <c r="AI153" i="6"/>
  <c r="AZ153" i="6"/>
  <c r="AJ153" i="6"/>
  <c r="H154" i="6"/>
  <c r="M151" i="6" s="1"/>
  <c r="H155" i="6"/>
  <c r="M152" i="6" s="1"/>
  <c r="H156" i="6"/>
  <c r="M153" i="6"/>
  <c r="H157" i="6"/>
  <c r="M154" i="6" s="1"/>
  <c r="D158" i="6"/>
  <c r="L155" i="6" s="1"/>
  <c r="H158" i="6"/>
  <c r="D159" i="6"/>
  <c r="L156" i="6" s="1"/>
  <c r="H159" i="6"/>
  <c r="M156" i="6" s="1"/>
  <c r="H160" i="6"/>
  <c r="M157" i="6" s="1"/>
  <c r="F161" i="6"/>
  <c r="G161" i="6"/>
  <c r="H166" i="6"/>
  <c r="I166" i="6" s="1"/>
  <c r="H167" i="6"/>
  <c r="H168" i="6"/>
  <c r="M167" i="6" s="1"/>
  <c r="I168" i="6"/>
  <c r="N167" i="6" s="1"/>
  <c r="K192" i="6" s="1"/>
  <c r="AN192" i="6" s="1"/>
  <c r="H170" i="6"/>
  <c r="M168" i="6" s="1"/>
  <c r="H171" i="6"/>
  <c r="I171" i="6" s="1"/>
  <c r="L171" i="6"/>
  <c r="D196" i="6" s="1"/>
  <c r="W196" i="6" s="1"/>
  <c r="H172" i="6"/>
  <c r="M169" i="6" s="1"/>
  <c r="D173" i="6"/>
  <c r="L170" i="6" s="1"/>
  <c r="D195" i="6" s="1"/>
  <c r="H173" i="6"/>
  <c r="M170" i="6"/>
  <c r="H174" i="6"/>
  <c r="M171" i="6" s="1"/>
  <c r="D175" i="6"/>
  <c r="L172" i="6" s="1"/>
  <c r="D197" i="6" s="1"/>
  <c r="H175" i="6"/>
  <c r="M172" i="6" s="1"/>
  <c r="D176" i="6"/>
  <c r="L173" i="6" s="1"/>
  <c r="D198" i="6" s="1"/>
  <c r="H176" i="6"/>
  <c r="H177" i="6"/>
  <c r="M174" i="6" s="1"/>
  <c r="H178" i="6"/>
  <c r="M175" i="6"/>
  <c r="D179" i="6"/>
  <c r="L176" i="6" s="1"/>
  <c r="D201" i="6" s="1"/>
  <c r="H179" i="6"/>
  <c r="M176" i="6" s="1"/>
  <c r="H180" i="6"/>
  <c r="L180" i="6"/>
  <c r="D205" i="6" s="1"/>
  <c r="H181" i="6"/>
  <c r="M178" i="6" s="1"/>
  <c r="D182" i="6"/>
  <c r="L179" i="6" s="1"/>
  <c r="D204" i="6" s="1"/>
  <c r="H182" i="6"/>
  <c r="M179" i="6" s="1"/>
  <c r="D183" i="6"/>
  <c r="H183" i="6"/>
  <c r="M180" i="6" s="1"/>
  <c r="D184" i="6"/>
  <c r="L181" i="6" s="1"/>
  <c r="D206" i="6" s="1"/>
  <c r="W206" i="6" s="1"/>
  <c r="H184" i="6"/>
  <c r="D185" i="6"/>
  <c r="L182" i="6" s="1"/>
  <c r="D207" i="6" s="1"/>
  <c r="W207" i="6" s="1"/>
  <c r="H185" i="6"/>
  <c r="I185" i="6" s="1"/>
  <c r="N182" i="6" s="1"/>
  <c r="K207" i="6" s="1"/>
  <c r="D186" i="6"/>
  <c r="L183" i="6" s="1"/>
  <c r="D208" i="6" s="1"/>
  <c r="H186" i="6"/>
  <c r="M183" i="6" s="1"/>
  <c r="F187" i="6"/>
  <c r="G187" i="6"/>
  <c r="W190" i="6"/>
  <c r="Y190" i="6"/>
  <c r="D191" i="6"/>
  <c r="W191" i="6" s="1"/>
  <c r="D192" i="6"/>
  <c r="W192" i="6"/>
  <c r="D193" i="6"/>
  <c r="W193" i="6" s="1"/>
  <c r="D194" i="6"/>
  <c r="W194" i="6" s="1"/>
  <c r="E215" i="6"/>
  <c r="F215" i="6"/>
  <c r="G215" i="6"/>
  <c r="H215" i="6"/>
  <c r="I215" i="6"/>
  <c r="J215" i="6"/>
  <c r="K215" i="6"/>
  <c r="E240" i="6"/>
  <c r="F240" i="6"/>
  <c r="G240" i="6"/>
  <c r="H240" i="6"/>
  <c r="I240" i="6"/>
  <c r="J240" i="6"/>
  <c r="K240" i="6"/>
  <c r="E265" i="6"/>
  <c r="F265" i="6"/>
  <c r="G265" i="6"/>
  <c r="H265" i="6"/>
  <c r="I265" i="6"/>
  <c r="J265" i="6"/>
  <c r="K265" i="6"/>
  <c r="D269" i="6"/>
  <c r="E289" i="6"/>
  <c r="F289" i="6"/>
  <c r="G289" i="6"/>
  <c r="H289" i="6"/>
  <c r="I289" i="6"/>
  <c r="J289" i="6"/>
  <c r="K289" i="6"/>
  <c r="H8" i="4"/>
  <c r="I8" i="4" s="1"/>
  <c r="H9" i="4"/>
  <c r="H10" i="4"/>
  <c r="I10" i="4" s="1"/>
  <c r="P9" i="4" s="1"/>
  <c r="H12" i="4"/>
  <c r="I12" i="4" s="1"/>
  <c r="N12" i="4"/>
  <c r="H13" i="4"/>
  <c r="I13" i="4" s="1"/>
  <c r="N13" i="4"/>
  <c r="H14" i="4"/>
  <c r="I14" i="4" s="1"/>
  <c r="P11" i="4" s="1"/>
  <c r="N14" i="4"/>
  <c r="H15" i="4"/>
  <c r="O12" i="4" s="1"/>
  <c r="N15" i="4"/>
  <c r="H16" i="4"/>
  <c r="O13" i="4" s="1"/>
  <c r="N16" i="4"/>
  <c r="H17" i="4"/>
  <c r="O14" i="4" s="1"/>
  <c r="N17" i="4"/>
  <c r="H18" i="4"/>
  <c r="O15" i="4" s="1"/>
  <c r="N18" i="4"/>
  <c r="H19" i="4"/>
  <c r="O16" i="4" s="1"/>
  <c r="N19" i="4"/>
  <c r="H20" i="4"/>
  <c r="O17" i="4" s="1"/>
  <c r="N20" i="4"/>
  <c r="H21" i="4"/>
  <c r="O18" i="4" s="1"/>
  <c r="N21" i="4"/>
  <c r="H22" i="4"/>
  <c r="N22" i="4"/>
  <c r="H23" i="4"/>
  <c r="I23" i="4" s="1"/>
  <c r="N23" i="4"/>
  <c r="H24" i="4"/>
  <c r="I24" i="4" s="1"/>
  <c r="N24" i="4"/>
  <c r="H25" i="4"/>
  <c r="O22" i="4" s="1"/>
  <c r="N25" i="4"/>
  <c r="H26" i="4"/>
  <c r="O23" i="4" s="1"/>
  <c r="H27" i="4"/>
  <c r="O24" i="4" s="1"/>
  <c r="H28" i="4"/>
  <c r="F29" i="4"/>
  <c r="G29" i="4"/>
  <c r="H34" i="4"/>
  <c r="J34" i="4"/>
  <c r="H35" i="4"/>
  <c r="I35" i="4" s="1"/>
  <c r="J35" i="4"/>
  <c r="G36" i="4"/>
  <c r="H36" i="4" s="1"/>
  <c r="H38" i="4"/>
  <c r="H39" i="4"/>
  <c r="D40" i="4"/>
  <c r="D92" i="4" s="1"/>
  <c r="D198" i="4" s="1"/>
  <c r="H40" i="4"/>
  <c r="O37" i="4" s="1"/>
  <c r="D41" i="4"/>
  <c r="H41" i="4"/>
  <c r="O38" i="4" s="1"/>
  <c r="D42" i="4"/>
  <c r="N40" i="4" s="1"/>
  <c r="H42" i="4"/>
  <c r="O39" i="4" s="1"/>
  <c r="D43" i="4"/>
  <c r="D149" i="4" s="1"/>
  <c r="N146" i="4" s="1"/>
  <c r="H43" i="4"/>
  <c r="O40" i="4" s="1"/>
  <c r="D44" i="4"/>
  <c r="N42" i="4" s="1"/>
  <c r="H44" i="4"/>
  <c r="O41" i="4" s="1"/>
  <c r="D45" i="4"/>
  <c r="H45" i="4"/>
  <c r="O42" i="4" s="1"/>
  <c r="D46" i="4"/>
  <c r="N44" i="4" s="1"/>
  <c r="H46" i="4"/>
  <c r="O43" i="4" s="1"/>
  <c r="D47" i="4"/>
  <c r="H47" i="4"/>
  <c r="O44" i="4" s="1"/>
  <c r="D48" i="4"/>
  <c r="N46" i="4" s="1"/>
  <c r="H48" i="4"/>
  <c r="D49" i="4"/>
  <c r="N47" i="4" s="1"/>
  <c r="H49" i="4"/>
  <c r="O46" i="4" s="1"/>
  <c r="D50" i="4"/>
  <c r="N48" i="4" s="1"/>
  <c r="H50" i="4"/>
  <c r="I50" i="4" s="1"/>
  <c r="D51" i="4"/>
  <c r="N49" i="4" s="1"/>
  <c r="H51" i="4"/>
  <c r="O48" i="4" s="1"/>
  <c r="D52" i="4"/>
  <c r="N50" i="4" s="1"/>
  <c r="H52" i="4"/>
  <c r="O49" i="4" s="1"/>
  <c r="D53" i="4"/>
  <c r="H53" i="4"/>
  <c r="D54" i="4"/>
  <c r="D106" i="4" s="1"/>
  <c r="D212" i="4" s="1"/>
  <c r="N209" i="4" s="1"/>
  <c r="H54" i="4"/>
  <c r="F55" i="4"/>
  <c r="H60" i="4"/>
  <c r="I60" i="4" s="1"/>
  <c r="J60" i="4"/>
  <c r="H61" i="4"/>
  <c r="I61" i="4" s="1"/>
  <c r="J61" i="4"/>
  <c r="H62" i="4"/>
  <c r="O61" i="4" s="1"/>
  <c r="H64" i="4"/>
  <c r="I64" i="4" s="1"/>
  <c r="H65" i="4"/>
  <c r="D66" i="4"/>
  <c r="D172" i="4" s="1"/>
  <c r="H66" i="4"/>
  <c r="I66" i="4" s="1"/>
  <c r="P63" i="4" s="1"/>
  <c r="D67" i="4"/>
  <c r="N64" i="4" s="1"/>
  <c r="H67" i="4"/>
  <c r="O64" i="4" s="1"/>
  <c r="D68" i="4"/>
  <c r="N65" i="4" s="1"/>
  <c r="H68" i="4"/>
  <c r="O65" i="4" s="1"/>
  <c r="D69" i="4"/>
  <c r="N66" i="4" s="1"/>
  <c r="H69" i="4"/>
  <c r="O66" i="4" s="1"/>
  <c r="D70" i="4"/>
  <c r="N67" i="4" s="1"/>
  <c r="H70" i="4"/>
  <c r="O67" i="4" s="1"/>
  <c r="D71" i="4"/>
  <c r="N68" i="4" s="1"/>
  <c r="H71" i="4"/>
  <c r="O68" i="4" s="1"/>
  <c r="D72" i="4"/>
  <c r="N69" i="4" s="1"/>
  <c r="H72" i="4"/>
  <c r="O69" i="4" s="1"/>
  <c r="D73" i="4"/>
  <c r="N70" i="4" s="1"/>
  <c r="H73" i="4"/>
  <c r="O70" i="4" s="1"/>
  <c r="D74" i="4"/>
  <c r="H74" i="4"/>
  <c r="O71" i="4" s="1"/>
  <c r="D75" i="4"/>
  <c r="N72" i="4" s="1"/>
  <c r="H75" i="4"/>
  <c r="O72" i="4" s="1"/>
  <c r="D76" i="4"/>
  <c r="N73" i="4" s="1"/>
  <c r="H76" i="4"/>
  <c r="I76" i="4" s="1"/>
  <c r="D77" i="4"/>
  <c r="N74" i="4" s="1"/>
  <c r="H77" i="4"/>
  <c r="O74" i="4" s="1"/>
  <c r="D78" i="4"/>
  <c r="N75" i="4" s="1"/>
  <c r="H78" i="4"/>
  <c r="O75" i="4" s="1"/>
  <c r="D79" i="4"/>
  <c r="N76" i="4" s="1"/>
  <c r="H79" i="4"/>
  <c r="O76" i="4" s="1"/>
  <c r="D80" i="4"/>
  <c r="N77" i="4" s="1"/>
  <c r="H80" i="4"/>
  <c r="F81" i="4"/>
  <c r="G81" i="4"/>
  <c r="H86" i="4"/>
  <c r="J86" i="4"/>
  <c r="H87" i="4"/>
  <c r="I87" i="4" s="1"/>
  <c r="J87" i="4"/>
  <c r="H88" i="4"/>
  <c r="O87" i="4" s="1"/>
  <c r="H90" i="4"/>
  <c r="I90" i="4" s="1"/>
  <c r="H91" i="4"/>
  <c r="I91" i="4" s="1"/>
  <c r="H92" i="4"/>
  <c r="I92" i="4" s="1"/>
  <c r="P89" i="4" s="1"/>
  <c r="H93" i="4"/>
  <c r="I93" i="4" s="1"/>
  <c r="P90" i="4" s="1"/>
  <c r="H94" i="4"/>
  <c r="O91" i="4" s="1"/>
  <c r="H95" i="4"/>
  <c r="O92" i="4" s="1"/>
  <c r="H96" i="4"/>
  <c r="O93" i="4" s="1"/>
  <c r="H97" i="4"/>
  <c r="O94" i="4" s="1"/>
  <c r="H98" i="4"/>
  <c r="O95" i="4" s="1"/>
  <c r="H99" i="4"/>
  <c r="O96" i="4" s="1"/>
  <c r="H100" i="4"/>
  <c r="O97" i="4" s="1"/>
  <c r="H101" i="4"/>
  <c r="O98" i="4" s="1"/>
  <c r="H102" i="4"/>
  <c r="I102" i="4" s="1"/>
  <c r="H103" i="4"/>
  <c r="O100" i="4" s="1"/>
  <c r="H104" i="4"/>
  <c r="O101" i="4" s="1"/>
  <c r="H105" i="4"/>
  <c r="O102" i="4" s="1"/>
  <c r="H106" i="4"/>
  <c r="I106" i="4" s="1"/>
  <c r="F107" i="4"/>
  <c r="G107" i="4"/>
  <c r="Z113" i="4"/>
  <c r="H114" i="4"/>
  <c r="I114" i="4" s="1"/>
  <c r="Z114" i="4" s="1"/>
  <c r="J114" i="4"/>
  <c r="W114" i="4"/>
  <c r="X114" i="4" s="1"/>
  <c r="H115" i="4"/>
  <c r="I115" i="4" s="1"/>
  <c r="Z115" i="4" s="1"/>
  <c r="J115" i="4"/>
  <c r="W115" i="4"/>
  <c r="X115" i="4" s="1"/>
  <c r="H116" i="4"/>
  <c r="I116" i="4" s="1"/>
  <c r="Z116" i="4" s="1"/>
  <c r="W116" i="4"/>
  <c r="W117" i="4"/>
  <c r="X117" i="4" s="1"/>
  <c r="Z117" i="4"/>
  <c r="H118" i="4"/>
  <c r="J118" i="4" s="1"/>
  <c r="W118" i="4"/>
  <c r="H119" i="4"/>
  <c r="I119" i="4" s="1"/>
  <c r="Z119" i="4" s="1"/>
  <c r="W119" i="4"/>
  <c r="D120" i="4"/>
  <c r="H120" i="4"/>
  <c r="I120" i="4" s="1"/>
  <c r="Z120" i="4" s="1"/>
  <c r="S120" i="4"/>
  <c r="W120" i="4"/>
  <c r="O117" i="4" s="1"/>
  <c r="D121" i="4"/>
  <c r="N118" i="4" s="1"/>
  <c r="H121" i="4"/>
  <c r="I121" i="4" s="1"/>
  <c r="Z121" i="4" s="1"/>
  <c r="S121" i="4"/>
  <c r="AB118" i="4" s="1"/>
  <c r="W121" i="4"/>
  <c r="O118" i="4" s="1"/>
  <c r="D122" i="4"/>
  <c r="N119" i="4" s="1"/>
  <c r="H122" i="4"/>
  <c r="I122" i="4" s="1"/>
  <c r="Z122" i="4" s="1"/>
  <c r="S122" i="4"/>
  <c r="AB119" i="4" s="1"/>
  <c r="W122" i="4"/>
  <c r="D123" i="4"/>
  <c r="N120" i="4" s="1"/>
  <c r="H123" i="4"/>
  <c r="I123" i="4" s="1"/>
  <c r="Z123" i="4" s="1"/>
  <c r="S123" i="4"/>
  <c r="AB120" i="4" s="1"/>
  <c r="W123" i="4"/>
  <c r="O120" i="4" s="1"/>
  <c r="D124" i="4"/>
  <c r="N121" i="4" s="1"/>
  <c r="H124" i="4"/>
  <c r="I124" i="4" s="1"/>
  <c r="Z124" i="4" s="1"/>
  <c r="S124" i="4"/>
  <c r="AB121" i="4" s="1"/>
  <c r="W124" i="4"/>
  <c r="O121" i="4" s="1"/>
  <c r="D125" i="4"/>
  <c r="N122" i="4" s="1"/>
  <c r="H125" i="4"/>
  <c r="I125" i="4" s="1"/>
  <c r="Z125" i="4" s="1"/>
  <c r="S125" i="4"/>
  <c r="AB122" i="4" s="1"/>
  <c r="W125" i="4"/>
  <c r="D126" i="4"/>
  <c r="N123" i="4" s="1"/>
  <c r="H126" i="4"/>
  <c r="I126" i="4" s="1"/>
  <c r="Z126" i="4" s="1"/>
  <c r="AE123" i="4" s="1"/>
  <c r="S126" i="4"/>
  <c r="AB123" i="4" s="1"/>
  <c r="W126" i="4"/>
  <c r="O123" i="4" s="1"/>
  <c r="BA126" i="4"/>
  <c r="D127" i="4"/>
  <c r="N124" i="4" s="1"/>
  <c r="H127" i="4"/>
  <c r="I127" i="4" s="1"/>
  <c r="Z127" i="4" s="1"/>
  <c r="AE124" i="4" s="1"/>
  <c r="S127" i="4"/>
  <c r="AB124" i="4" s="1"/>
  <c r="W127" i="4"/>
  <c r="O124" i="4" s="1"/>
  <c r="D128" i="4"/>
  <c r="N125" i="4" s="1"/>
  <c r="H128" i="4"/>
  <c r="I128" i="4" s="1"/>
  <c r="Z128" i="4" s="1"/>
  <c r="S128" i="4"/>
  <c r="AB125" i="4" s="1"/>
  <c r="W128" i="4"/>
  <c r="O125" i="4" s="1"/>
  <c r="D129" i="4"/>
  <c r="N126" i="4" s="1"/>
  <c r="H129" i="4"/>
  <c r="I129" i="4" s="1"/>
  <c r="Z129" i="4" s="1"/>
  <c r="S129" i="4"/>
  <c r="AB126" i="4" s="1"/>
  <c r="W129" i="4"/>
  <c r="O126" i="4" s="1"/>
  <c r="D130" i="4"/>
  <c r="N127" i="4" s="1"/>
  <c r="H130" i="4"/>
  <c r="I130" i="4" s="1"/>
  <c r="Z130" i="4" s="1"/>
  <c r="S130" i="4"/>
  <c r="AB127" i="4" s="1"/>
  <c r="W130" i="4"/>
  <c r="O127" i="4" s="1"/>
  <c r="D131" i="4"/>
  <c r="N128" i="4" s="1"/>
  <c r="H131" i="4"/>
  <c r="I131" i="4" s="1"/>
  <c r="Z131" i="4" s="1"/>
  <c r="S131" i="4"/>
  <c r="AB128" i="4" s="1"/>
  <c r="W131" i="4"/>
  <c r="O128" i="4" s="1"/>
  <c r="D132" i="4"/>
  <c r="N129" i="4" s="1"/>
  <c r="H132" i="4"/>
  <c r="I132" i="4" s="1"/>
  <c r="Z132" i="4" s="1"/>
  <c r="S132" i="4"/>
  <c r="AB129" i="4" s="1"/>
  <c r="W132" i="4"/>
  <c r="X132" i="4" s="1"/>
  <c r="P129" i="4" s="1"/>
  <c r="I259" i="4" s="1"/>
  <c r="AH132" i="4"/>
  <c r="D133" i="4"/>
  <c r="N130" i="4" s="1"/>
  <c r="H133" i="4"/>
  <c r="I133" i="4" s="1"/>
  <c r="Z133" i="4" s="1"/>
  <c r="S133" i="4"/>
  <c r="AB130" i="4" s="1"/>
  <c r="W133" i="4"/>
  <c r="X133" i="4" s="1"/>
  <c r="P130" i="4" s="1"/>
  <c r="I260" i="4" s="1"/>
  <c r="AJ260" i="4" s="1"/>
  <c r="D134" i="4"/>
  <c r="N131" i="4" s="1"/>
  <c r="H134" i="4"/>
  <c r="I134" i="4" s="1"/>
  <c r="Z134" i="4" s="1"/>
  <c r="S134" i="4"/>
  <c r="AB131" i="4" s="1"/>
  <c r="W134" i="4"/>
  <c r="O131" i="4" s="1"/>
  <c r="F135" i="4"/>
  <c r="G135" i="4"/>
  <c r="U135" i="4"/>
  <c r="V135" i="4"/>
  <c r="AK138" i="4"/>
  <c r="AK139" i="4"/>
  <c r="AL139" i="4"/>
  <c r="AP139" i="4"/>
  <c r="H140" i="4"/>
  <c r="I140" i="4" s="1"/>
  <c r="AG140" i="4"/>
  <c r="AR140" i="4" s="1"/>
  <c r="AK140" i="4"/>
  <c r="AL140" i="4"/>
  <c r="AT140" i="4"/>
  <c r="H141" i="4"/>
  <c r="I141" i="4" s="1"/>
  <c r="AE141" i="4"/>
  <c r="AG141" i="4"/>
  <c r="AR141" i="4" s="1"/>
  <c r="AK141" i="4"/>
  <c r="AZ141" i="4"/>
  <c r="BB141" i="4"/>
  <c r="AL141" i="4" s="1"/>
  <c r="H142" i="4"/>
  <c r="AE142" i="4"/>
  <c r="AK142" i="4"/>
  <c r="AL142" i="4"/>
  <c r="AR142" i="4"/>
  <c r="AZ142" i="4"/>
  <c r="AE143" i="4"/>
  <c r="AG143" i="4"/>
  <c r="AR143" i="4" s="1"/>
  <c r="AK143" i="4"/>
  <c r="AZ143" i="4"/>
  <c r="BB143" i="4"/>
  <c r="AL143" i="4" s="1"/>
  <c r="AN143" i="4" s="1"/>
  <c r="H144" i="4"/>
  <c r="Z144" i="4"/>
  <c r="AE144" i="4" s="1"/>
  <c r="AG144" i="4"/>
  <c r="AR144" i="4" s="1"/>
  <c r="AK144" i="4"/>
  <c r="AU144" i="4"/>
  <c r="AZ144" i="4" s="1"/>
  <c r="BB144" i="4"/>
  <c r="AL144" i="4" s="1"/>
  <c r="H145" i="4"/>
  <c r="I145" i="4" s="1"/>
  <c r="Z145" i="4"/>
  <c r="AE145" i="4"/>
  <c r="AK145" i="4"/>
  <c r="AL145" i="4"/>
  <c r="AR145" i="4"/>
  <c r="AU145" i="4"/>
  <c r="AZ145" i="4"/>
  <c r="D146" i="4"/>
  <c r="H146" i="4"/>
  <c r="O143" i="4" s="1"/>
  <c r="Z146" i="4"/>
  <c r="AE146" i="4"/>
  <c r="AK146" i="4"/>
  <c r="AL146" i="4"/>
  <c r="AR146" i="4"/>
  <c r="AU146" i="4"/>
  <c r="AZ146" i="4"/>
  <c r="H147" i="4"/>
  <c r="O144" i="4" s="1"/>
  <c r="Z147" i="4"/>
  <c r="AE147" i="4" s="1"/>
  <c r="AK147" i="4"/>
  <c r="AL147" i="4"/>
  <c r="AR147" i="4"/>
  <c r="AU147" i="4"/>
  <c r="AZ147" i="4" s="1"/>
  <c r="H148" i="4"/>
  <c r="O145" i="4" s="1"/>
  <c r="AK148" i="4"/>
  <c r="H149" i="4"/>
  <c r="O146" i="4" s="1"/>
  <c r="AE149" i="4"/>
  <c r="AG149" i="4"/>
  <c r="AR149" i="4" s="1"/>
  <c r="AH149" i="4"/>
  <c r="AK149" i="4"/>
  <c r="AZ149" i="4"/>
  <c r="BB149" i="4"/>
  <c r="AL149" i="4" s="1"/>
  <c r="D150" i="4"/>
  <c r="N147" i="4" s="1"/>
  <c r="H150" i="4"/>
  <c r="I150" i="4" s="1"/>
  <c r="P147" i="4" s="1"/>
  <c r="J251" i="4" s="1"/>
  <c r="Z150" i="4"/>
  <c r="AE150" i="4" s="1"/>
  <c r="AG150" i="4"/>
  <c r="AR150" i="4" s="1"/>
  <c r="AK150" i="4"/>
  <c r="AU150" i="4"/>
  <c r="AZ150" i="4" s="1"/>
  <c r="BB150" i="4"/>
  <c r="AL150" i="4" s="1"/>
  <c r="H151" i="4"/>
  <c r="Z151" i="4"/>
  <c r="AE151" i="4" s="1"/>
  <c r="AK151" i="4"/>
  <c r="AL151" i="4"/>
  <c r="AR151" i="4"/>
  <c r="AU151" i="4"/>
  <c r="AZ151" i="4" s="1"/>
  <c r="H152" i="4"/>
  <c r="O149" i="4" s="1"/>
  <c r="H153" i="4"/>
  <c r="O150" i="4" s="1"/>
  <c r="AG153" i="4"/>
  <c r="AR153" i="4" s="1"/>
  <c r="AK153" i="4"/>
  <c r="BB153" i="4"/>
  <c r="AL153" i="4" s="1"/>
  <c r="H154" i="4"/>
  <c r="I154" i="4" s="1"/>
  <c r="P151" i="4" s="1"/>
  <c r="J255" i="4" s="1"/>
  <c r="AM255" i="4" s="1"/>
  <c r="D155" i="4"/>
  <c r="N152" i="4" s="1"/>
  <c r="H155" i="4"/>
  <c r="I155" i="4" s="1"/>
  <c r="P152" i="4" s="1"/>
  <c r="J256" i="4" s="1"/>
  <c r="H156" i="4"/>
  <c r="I156" i="4" s="1"/>
  <c r="P153" i="4" s="1"/>
  <c r="J257" i="4" s="1"/>
  <c r="D157" i="4"/>
  <c r="N154" i="4" s="1"/>
  <c r="H157" i="4"/>
  <c r="O154" i="4" s="1"/>
  <c r="H158" i="4"/>
  <c r="O155" i="4" s="1"/>
  <c r="H159" i="4"/>
  <c r="O156" i="4" s="1"/>
  <c r="H160" i="4"/>
  <c r="O157" i="4" s="1"/>
  <c r="F161" i="4"/>
  <c r="G161" i="4"/>
  <c r="H166" i="4"/>
  <c r="H167" i="4"/>
  <c r="I167" i="4" s="1"/>
  <c r="H168" i="4"/>
  <c r="O167" i="4" s="1"/>
  <c r="I168" i="4"/>
  <c r="P167" i="4" s="1"/>
  <c r="K245" i="4" s="1"/>
  <c r="H170" i="4"/>
  <c r="I170" i="4" s="1"/>
  <c r="H171" i="4"/>
  <c r="I171" i="4" s="1"/>
  <c r="H172" i="4"/>
  <c r="O169" i="4" s="1"/>
  <c r="H173" i="4"/>
  <c r="I173" i="4" s="1"/>
  <c r="P170" i="4" s="1"/>
  <c r="K248" i="4" s="1"/>
  <c r="D174" i="4"/>
  <c r="N171" i="4" s="1"/>
  <c r="D249" i="4" s="1"/>
  <c r="H174" i="4"/>
  <c r="O171" i="4" s="1"/>
  <c r="H175" i="4"/>
  <c r="O172" i="4" s="1"/>
  <c r="D176" i="4"/>
  <c r="N173" i="4" s="1"/>
  <c r="D251" i="4" s="1"/>
  <c r="H176" i="4"/>
  <c r="O173" i="4" s="1"/>
  <c r="D177" i="4"/>
  <c r="N174" i="4" s="1"/>
  <c r="D252" i="4" s="1"/>
  <c r="H177" i="4"/>
  <c r="O174" i="4" s="1"/>
  <c r="H178" i="4"/>
  <c r="H179" i="4"/>
  <c r="O176" i="4" s="1"/>
  <c r="H180" i="4"/>
  <c r="O177" i="4" s="1"/>
  <c r="H181" i="4"/>
  <c r="O178" i="4" s="1"/>
  <c r="H182" i="4"/>
  <c r="O179" i="4" s="1"/>
  <c r="D183" i="4"/>
  <c r="N180" i="4" s="1"/>
  <c r="D258" i="4" s="1"/>
  <c r="H183" i="4"/>
  <c r="O180" i="4" s="1"/>
  <c r="H184" i="4"/>
  <c r="O181" i="4" s="1"/>
  <c r="H185" i="4"/>
  <c r="O182" i="4" s="1"/>
  <c r="H186" i="4"/>
  <c r="O183" i="4" s="1"/>
  <c r="F187" i="4"/>
  <c r="G187" i="4"/>
  <c r="Y243" i="4"/>
  <c r="AA243" i="4"/>
  <c r="D244" i="4"/>
  <c r="Y244" i="4" s="1"/>
  <c r="D245" i="4"/>
  <c r="Y245" i="4" s="1"/>
  <c r="D246" i="4"/>
  <c r="Y246" i="4" s="1"/>
  <c r="D247" i="4"/>
  <c r="Y247" i="4" s="1"/>
  <c r="E268" i="4"/>
  <c r="F268" i="4"/>
  <c r="G268" i="4"/>
  <c r="H268" i="4"/>
  <c r="I268" i="4"/>
  <c r="J268" i="4"/>
  <c r="K268" i="4"/>
  <c r="E293" i="4"/>
  <c r="F293" i="4"/>
  <c r="G293" i="4"/>
  <c r="H293" i="4"/>
  <c r="I293" i="4"/>
  <c r="J293" i="4"/>
  <c r="K293" i="4"/>
  <c r="E318" i="4"/>
  <c r="F318" i="4"/>
  <c r="G318" i="4"/>
  <c r="H318" i="4"/>
  <c r="I318" i="4"/>
  <c r="J318" i="4"/>
  <c r="K318" i="4"/>
  <c r="E342" i="4"/>
  <c r="F342" i="4"/>
  <c r="G342" i="4"/>
  <c r="H342" i="4"/>
  <c r="I342" i="4"/>
  <c r="J342" i="4"/>
  <c r="K342" i="4"/>
  <c r="P5" i="5"/>
  <c r="Q5" i="5" s="1"/>
  <c r="R5" i="5" s="1"/>
  <c r="S5" i="5" s="1"/>
  <c r="T5" i="5" s="1"/>
  <c r="U5" i="5" s="1"/>
  <c r="V5" i="5" s="1"/>
  <c r="W5" i="5" s="1"/>
  <c r="X5" i="5" s="1"/>
  <c r="Y5" i="5" s="1"/>
  <c r="Z5" i="5" s="1"/>
  <c r="AA5" i="5" s="1"/>
  <c r="AB5" i="5" s="1"/>
  <c r="AC5" i="5" s="1"/>
  <c r="AD5" i="5" s="1"/>
  <c r="AE5" i="5" s="1"/>
  <c r="AF5" i="5" s="1"/>
  <c r="AG5" i="5" s="1"/>
  <c r="AH5" i="5" s="1"/>
  <c r="AI5" i="5" s="1"/>
  <c r="AJ5" i="5" s="1"/>
  <c r="AK5" i="5" s="1"/>
  <c r="AL5" i="5" s="1"/>
  <c r="AM5" i="5" s="1"/>
  <c r="AN5" i="5" s="1"/>
  <c r="AO5" i="5" s="1"/>
  <c r="R27" i="5"/>
  <c r="S27" i="5"/>
  <c r="T27" i="5" s="1"/>
  <c r="U27" i="5" s="1"/>
  <c r="V27" i="5" s="1"/>
  <c r="W27" i="5" s="1"/>
  <c r="X27" i="5" s="1"/>
  <c r="Y27" i="5" s="1"/>
  <c r="Z27" i="5" s="1"/>
  <c r="AA27" i="5" s="1"/>
  <c r="AB27" i="5" s="1"/>
  <c r="AC27" i="5" s="1"/>
  <c r="AD27" i="5" s="1"/>
  <c r="AE27" i="5" s="1"/>
  <c r="AF27" i="5" s="1"/>
  <c r="F28" i="5"/>
  <c r="G28" i="5"/>
  <c r="F29" i="5"/>
  <c r="F52" i="5" s="1"/>
  <c r="CA60" i="9" s="1"/>
  <c r="CA81" i="9" s="1"/>
  <c r="G29" i="5"/>
  <c r="F30" i="5"/>
  <c r="F53" i="5" s="1"/>
  <c r="CA61" i="9" s="1"/>
  <c r="CA82" i="9" s="1"/>
  <c r="G30" i="5"/>
  <c r="F31" i="5"/>
  <c r="F54" i="5" s="1"/>
  <c r="CA62" i="9" s="1"/>
  <c r="CA83" i="9" s="1"/>
  <c r="G31" i="5"/>
  <c r="F32" i="5"/>
  <c r="G32" i="5"/>
  <c r="F33" i="5"/>
  <c r="F56" i="5" s="1"/>
  <c r="G33" i="5"/>
  <c r="F34" i="5"/>
  <c r="G34" i="5"/>
  <c r="F35" i="5"/>
  <c r="G35" i="5"/>
  <c r="F36" i="5"/>
  <c r="F59" i="5" s="1"/>
  <c r="G36" i="5"/>
  <c r="F37" i="5"/>
  <c r="F60" i="5" s="1"/>
  <c r="G37" i="5"/>
  <c r="BI37" i="5"/>
  <c r="BI38" i="5" s="1"/>
  <c r="BI39" i="5" s="1"/>
  <c r="BI40" i="5" s="1"/>
  <c r="BI41" i="5" s="1"/>
  <c r="BI42" i="5" s="1"/>
  <c r="BI43" i="5" s="1"/>
  <c r="BI44" i="5" s="1"/>
  <c r="BI45" i="5" s="1"/>
  <c r="BI46" i="5" s="1"/>
  <c r="BI47" i="5" s="1"/>
  <c r="BI48" i="5" s="1"/>
  <c r="BI49" i="5" s="1"/>
  <c r="BI50" i="5" s="1"/>
  <c r="BI51" i="5" s="1"/>
  <c r="BI52" i="5" s="1"/>
  <c r="BI53" i="5" s="1"/>
  <c r="BI54" i="5" s="1"/>
  <c r="BI55" i="5" s="1"/>
  <c r="BI56" i="5" s="1"/>
  <c r="BI57" i="5" s="1"/>
  <c r="BI58" i="5" s="1"/>
  <c r="BI59" i="5" s="1"/>
  <c r="BI60" i="5" s="1"/>
  <c r="BI61" i="5" s="1"/>
  <c r="F38" i="5"/>
  <c r="F61" i="5" s="1"/>
  <c r="CA69" i="9" s="1"/>
  <c r="CA90" i="9" s="1"/>
  <c r="G38" i="5"/>
  <c r="F39" i="5"/>
  <c r="F62" i="5" s="1"/>
  <c r="G39" i="5"/>
  <c r="F40" i="5"/>
  <c r="F63" i="5" s="1"/>
  <c r="G40" i="5"/>
  <c r="F41" i="5"/>
  <c r="F64" i="5" s="1"/>
  <c r="F119" i="5" s="1"/>
  <c r="G41" i="5"/>
  <c r="F42" i="5"/>
  <c r="G42" i="5"/>
  <c r="F43" i="5"/>
  <c r="F66" i="5" s="1"/>
  <c r="G43" i="5"/>
  <c r="F44" i="5"/>
  <c r="G44" i="5"/>
  <c r="F45" i="5"/>
  <c r="F68" i="5" s="1"/>
  <c r="G45" i="5"/>
  <c r="H47" i="5"/>
  <c r="I47" i="5" s="1"/>
  <c r="F49" i="5"/>
  <c r="G49" i="5"/>
  <c r="G50" i="5"/>
  <c r="CB58" i="9" s="1"/>
  <c r="H50" i="5"/>
  <c r="F51" i="5"/>
  <c r="F55" i="5"/>
  <c r="F57" i="5"/>
  <c r="F58" i="5"/>
  <c r="F65" i="5"/>
  <c r="F67" i="5"/>
  <c r="F149" i="5" s="1"/>
  <c r="G74" i="5"/>
  <c r="G117" i="5" s="1"/>
  <c r="G96" i="5"/>
  <c r="G148" i="5"/>
  <c r="C1" i="2"/>
  <c r="X2" i="2"/>
  <c r="Y2" i="2"/>
  <c r="Z2" i="2"/>
  <c r="AA2" i="2"/>
  <c r="AB2" i="2"/>
  <c r="AC2" i="2"/>
  <c r="AC25" i="2" s="1"/>
  <c r="AD2" i="2"/>
  <c r="AE2" i="2"/>
  <c r="AF2" i="2"/>
  <c r="AG2" i="2"/>
  <c r="AH2" i="2"/>
  <c r="AI2" i="2"/>
  <c r="S3" i="2"/>
  <c r="W3" i="2"/>
  <c r="W4" i="2" s="1"/>
  <c r="X3" i="2"/>
  <c r="Y3" i="2"/>
  <c r="Z3" i="2"/>
  <c r="AA3" i="2"/>
  <c r="AA26" i="2" s="1"/>
  <c r="AA195" i="2" s="1"/>
  <c r="AB3" i="2"/>
  <c r="AC3" i="2"/>
  <c r="AD3" i="2"/>
  <c r="AD26" i="2" s="1"/>
  <c r="AD195" i="2" s="1"/>
  <c r="AE3" i="2"/>
  <c r="AE26" i="2" s="1"/>
  <c r="AE195" i="2" s="1"/>
  <c r="AF3" i="2"/>
  <c r="AG3" i="2"/>
  <c r="AH3" i="2"/>
  <c r="AI3" i="2"/>
  <c r="S4" i="2"/>
  <c r="S5" i="2" s="1"/>
  <c r="S6" i="2" s="1"/>
  <c r="S7" i="2" s="1"/>
  <c r="S8" i="2" s="1"/>
  <c r="S9" i="2" s="1"/>
  <c r="S10" i="2" s="1"/>
  <c r="S11" i="2" s="1"/>
  <c r="S12" i="2" s="1"/>
  <c r="S13" i="2" s="1"/>
  <c r="S14" i="2" s="1"/>
  <c r="S15" i="2" s="1"/>
  <c r="S16" i="2" s="1"/>
  <c r="S17" i="2" s="1"/>
  <c r="S18" i="2" s="1"/>
  <c r="S19" i="2" s="1"/>
  <c r="S20" i="2" s="1"/>
  <c r="S21" i="2" s="1"/>
  <c r="S22" i="2" s="1"/>
  <c r="S23" i="2" s="1"/>
  <c r="S24" i="2" s="1"/>
  <c r="S25" i="2" s="1"/>
  <c r="S26" i="2" s="1"/>
  <c r="S27" i="2" s="1"/>
  <c r="S28" i="2" s="1"/>
  <c r="S29" i="2" s="1"/>
  <c r="S30" i="2" s="1"/>
  <c r="S31" i="2" s="1"/>
  <c r="S32" i="2" s="1"/>
  <c r="S33" i="2" s="1"/>
  <c r="S34" i="2" s="1"/>
  <c r="S35" i="2" s="1"/>
  <c r="S36" i="2" s="1"/>
  <c r="S37" i="2" s="1"/>
  <c r="S38" i="2" s="1"/>
  <c r="S39" i="2" s="1"/>
  <c r="S40" i="2" s="1"/>
  <c r="S41" i="2" s="1"/>
  <c r="S42" i="2" s="1"/>
  <c r="S43" i="2" s="1"/>
  <c r="S44" i="2" s="1"/>
  <c r="S45" i="2" s="1"/>
  <c r="S46" i="2" s="1"/>
  <c r="S47" i="2" s="1"/>
  <c r="S48" i="2" s="1"/>
  <c r="S49" i="2" s="1"/>
  <c r="S50" i="2" s="1"/>
  <c r="S51" i="2" s="1"/>
  <c r="S52" i="2" s="1"/>
  <c r="S53" i="2" s="1"/>
  <c r="S54" i="2" s="1"/>
  <c r="S55" i="2" s="1"/>
  <c r="S56" i="2" s="1"/>
  <c r="S57" i="2" s="1"/>
  <c r="S58" i="2" s="1"/>
  <c r="S59" i="2" s="1"/>
  <c r="S60" i="2" s="1"/>
  <c r="S61" i="2" s="1"/>
  <c r="S62" i="2" s="1"/>
  <c r="S63" i="2" s="1"/>
  <c r="S64" i="2" s="1"/>
  <c r="S65" i="2" s="1"/>
  <c r="S66" i="2" s="1"/>
  <c r="S67" i="2" s="1"/>
  <c r="S68" i="2" s="1"/>
  <c r="S69" i="2" s="1"/>
  <c r="S70" i="2" s="1"/>
  <c r="S71" i="2" s="1"/>
  <c r="S72" i="2" s="1"/>
  <c r="S73" i="2" s="1"/>
  <c r="S74" i="2" s="1"/>
  <c r="S75" i="2" s="1"/>
  <c r="S76" i="2" s="1"/>
  <c r="X4" i="2"/>
  <c r="Y4" i="2"/>
  <c r="Y27" i="2" s="1"/>
  <c r="Y196" i="2" s="1"/>
  <c r="Z4" i="2"/>
  <c r="AA4" i="2"/>
  <c r="AB4" i="2"/>
  <c r="AB27" i="2" s="1"/>
  <c r="AB196" i="2" s="1"/>
  <c r="AC4" i="2"/>
  <c r="AC27" i="2" s="1"/>
  <c r="AC196" i="2" s="1"/>
  <c r="AD4" i="2"/>
  <c r="AD27" i="2" s="1"/>
  <c r="AD196" i="2" s="1"/>
  <c r="AE4" i="2"/>
  <c r="AF4" i="2"/>
  <c r="AG4" i="2"/>
  <c r="AH4" i="2"/>
  <c r="AI4" i="2"/>
  <c r="W5" i="2"/>
  <c r="W6" i="2" s="1"/>
  <c r="W7" i="2" s="1"/>
  <c r="W8" i="2" s="1"/>
  <c r="W9" i="2" s="1"/>
  <c r="W10" i="2" s="1"/>
  <c r="W11" i="2" s="1"/>
  <c r="W12" i="2" s="1"/>
  <c r="W13" i="2" s="1"/>
  <c r="W14" i="2" s="1"/>
  <c r="W15" i="2" s="1"/>
  <c r="W16" i="2" s="1"/>
  <c r="W17" i="2" s="1"/>
  <c r="W18" i="2" s="1"/>
  <c r="W19" i="2" s="1"/>
  <c r="X5" i="2"/>
  <c r="Y5" i="2"/>
  <c r="Z5" i="2"/>
  <c r="Z28" i="2" s="1"/>
  <c r="Z197" i="2" s="1"/>
  <c r="AA5" i="2"/>
  <c r="AA28" i="2" s="1"/>
  <c r="AA197" i="2" s="1"/>
  <c r="AB5" i="2"/>
  <c r="AB28" i="2" s="1"/>
  <c r="AB197" i="2" s="1"/>
  <c r="AC5" i="2"/>
  <c r="AD5" i="2"/>
  <c r="AE5" i="2"/>
  <c r="AF5" i="2"/>
  <c r="AG5" i="2"/>
  <c r="AH5" i="2"/>
  <c r="AI5" i="2"/>
  <c r="X6" i="2"/>
  <c r="X29" i="2" s="1"/>
  <c r="Y6" i="2"/>
  <c r="Z6" i="2"/>
  <c r="Z29" i="2" s="1"/>
  <c r="Z198" i="2" s="1"/>
  <c r="AA6" i="2"/>
  <c r="AA29" i="2" s="1"/>
  <c r="AA198" i="2" s="1"/>
  <c r="AB6" i="2"/>
  <c r="AC6" i="2"/>
  <c r="AD6" i="2"/>
  <c r="AE6" i="2"/>
  <c r="AF6" i="2"/>
  <c r="AG6" i="2"/>
  <c r="AH6" i="2"/>
  <c r="AI6" i="2"/>
  <c r="X7" i="2"/>
  <c r="Y7" i="2"/>
  <c r="Y30" i="2" s="1"/>
  <c r="Z7" i="2"/>
  <c r="Z30" i="2" s="1"/>
  <c r="AA7" i="2"/>
  <c r="AB7" i="2"/>
  <c r="AC7" i="2"/>
  <c r="AD7" i="2"/>
  <c r="AE7" i="2"/>
  <c r="AF7" i="2"/>
  <c r="AG7" i="2"/>
  <c r="AH7" i="2"/>
  <c r="AI7" i="2"/>
  <c r="X8" i="2"/>
  <c r="Y8" i="2"/>
  <c r="Y31" i="2" s="1"/>
  <c r="Y200" i="2" s="1"/>
  <c r="Z8" i="2"/>
  <c r="Z31" i="2" s="1"/>
  <c r="Z200" i="2" s="1"/>
  <c r="AA8" i="2"/>
  <c r="AB8" i="2"/>
  <c r="AC8" i="2"/>
  <c r="AC31" i="2" s="1"/>
  <c r="AC200" i="2" s="1"/>
  <c r="AD8" i="2"/>
  <c r="AE8" i="2"/>
  <c r="AF8" i="2"/>
  <c r="AG8" i="2"/>
  <c r="AH8" i="2"/>
  <c r="AI8" i="2"/>
  <c r="X9" i="2"/>
  <c r="Y9" i="2"/>
  <c r="Y32" i="2" s="1"/>
  <c r="Y201" i="2" s="1"/>
  <c r="Z9" i="2"/>
  <c r="Z32" i="2" s="1"/>
  <c r="Z201" i="2" s="1"/>
  <c r="AA9" i="2"/>
  <c r="AA32" i="2" s="1"/>
  <c r="AA201" i="2" s="1"/>
  <c r="AB9" i="2"/>
  <c r="AC9" i="2"/>
  <c r="AD9" i="2"/>
  <c r="AD32" i="2" s="1"/>
  <c r="AD201" i="2" s="1"/>
  <c r="AE9" i="2"/>
  <c r="AF9" i="2"/>
  <c r="AG9" i="2"/>
  <c r="AH9" i="2"/>
  <c r="AI9" i="2"/>
  <c r="X10" i="2"/>
  <c r="Y10" i="2"/>
  <c r="Y33" i="2" s="1"/>
  <c r="Y202" i="2" s="1"/>
  <c r="Z10" i="2"/>
  <c r="Z33" i="2" s="1"/>
  <c r="Z202" i="2" s="1"/>
  <c r="AA10" i="2"/>
  <c r="AB10" i="2"/>
  <c r="AB33" i="2" s="1"/>
  <c r="AC10" i="2"/>
  <c r="AD10" i="2"/>
  <c r="AE10" i="2"/>
  <c r="AF10" i="2"/>
  <c r="AG10" i="2"/>
  <c r="AH10" i="2"/>
  <c r="AI10" i="2"/>
  <c r="X11" i="2"/>
  <c r="Y11" i="2"/>
  <c r="Y34" i="2" s="1"/>
  <c r="Y203" i="2" s="1"/>
  <c r="Z11" i="2"/>
  <c r="Z34" i="2" s="1"/>
  <c r="Z203" i="2" s="1"/>
  <c r="AA11" i="2"/>
  <c r="AB11" i="2"/>
  <c r="AC11" i="2"/>
  <c r="AD11" i="2"/>
  <c r="AE11" i="2"/>
  <c r="AF11" i="2"/>
  <c r="AG11" i="2"/>
  <c r="AH11" i="2"/>
  <c r="AI11" i="2"/>
  <c r="AM11" i="2"/>
  <c r="AN11" i="2"/>
  <c r="AQ11" i="2"/>
  <c r="AR11" i="2" s="1"/>
  <c r="X12" i="2"/>
  <c r="Y12" i="2"/>
  <c r="Z12" i="2"/>
  <c r="AA12" i="2"/>
  <c r="AB12" i="2"/>
  <c r="AC12" i="2"/>
  <c r="AC35" i="2" s="1"/>
  <c r="AC204" i="2" s="1"/>
  <c r="AD12" i="2"/>
  <c r="AD35" i="2" s="1"/>
  <c r="AD204" i="2" s="1"/>
  <c r="AE12" i="2"/>
  <c r="AF12" i="2"/>
  <c r="AG12" i="2"/>
  <c r="AH12" i="2"/>
  <c r="AI12" i="2"/>
  <c r="X13" i="2"/>
  <c r="Y13" i="2"/>
  <c r="Z13" i="2"/>
  <c r="AA13" i="2"/>
  <c r="AB13" i="2"/>
  <c r="AC13" i="2"/>
  <c r="AD13" i="2"/>
  <c r="AD36" i="2" s="1"/>
  <c r="AD118" i="2" s="1"/>
  <c r="AD205" i="2" s="1"/>
  <c r="AE13" i="2"/>
  <c r="AF13" i="2"/>
  <c r="AG13" i="2"/>
  <c r="AH13" i="2"/>
  <c r="AI13" i="2"/>
  <c r="X14" i="2"/>
  <c r="Y14" i="2"/>
  <c r="Y37" i="2" s="1"/>
  <c r="Z14" i="2"/>
  <c r="AA14" i="2"/>
  <c r="AB14" i="2"/>
  <c r="AB37" i="2" s="1"/>
  <c r="AC14" i="2"/>
  <c r="AD14" i="2"/>
  <c r="AD37" i="2" s="1"/>
  <c r="AE14" i="2"/>
  <c r="AE37" i="2" s="1"/>
  <c r="AE206" i="2" s="1"/>
  <c r="AF14" i="2"/>
  <c r="AG14" i="2"/>
  <c r="AH14" i="2"/>
  <c r="AI14" i="2"/>
  <c r="X15" i="2"/>
  <c r="Y15" i="2"/>
  <c r="Z15" i="2"/>
  <c r="Z38" i="2" s="1"/>
  <c r="AA15" i="2"/>
  <c r="AB15" i="2"/>
  <c r="AC15" i="2"/>
  <c r="AD15" i="2"/>
  <c r="AD38" i="2" s="1"/>
  <c r="AE15" i="2"/>
  <c r="AE38" i="2" s="1"/>
  <c r="AF15" i="2"/>
  <c r="AG15" i="2"/>
  <c r="AH15" i="2"/>
  <c r="AI15" i="2"/>
  <c r="X16" i="2"/>
  <c r="X39" i="2" s="1"/>
  <c r="Y16" i="2"/>
  <c r="Z16" i="2"/>
  <c r="AA16" i="2"/>
  <c r="AB16" i="2"/>
  <c r="AC16" i="2"/>
  <c r="AD16" i="2"/>
  <c r="AD39" i="2" s="1"/>
  <c r="AE16" i="2"/>
  <c r="AF16" i="2"/>
  <c r="AG16" i="2"/>
  <c r="AH16" i="2"/>
  <c r="AI16" i="2"/>
  <c r="X17" i="2"/>
  <c r="Y17" i="2"/>
  <c r="Y40" i="2" s="1"/>
  <c r="Z17" i="2"/>
  <c r="AA17" i="2"/>
  <c r="AB17" i="2"/>
  <c r="AC17" i="2"/>
  <c r="AC40" i="2" s="1"/>
  <c r="AD17" i="2"/>
  <c r="AE17" i="2"/>
  <c r="AE40" i="2" s="1"/>
  <c r="AF17" i="2"/>
  <c r="AG17" i="2"/>
  <c r="AH17" i="2"/>
  <c r="AI17" i="2"/>
  <c r="AQ17" i="2"/>
  <c r="X18" i="2"/>
  <c r="Y18" i="2"/>
  <c r="Z18" i="2"/>
  <c r="AA18" i="2"/>
  <c r="AB18" i="2"/>
  <c r="AC18" i="2"/>
  <c r="AD18" i="2"/>
  <c r="AE18" i="2"/>
  <c r="AE41" i="2" s="1"/>
  <c r="AE210" i="2" s="1"/>
  <c r="AF18" i="2"/>
  <c r="AG18" i="2"/>
  <c r="AH18" i="2"/>
  <c r="AI18" i="2"/>
  <c r="X19" i="2"/>
  <c r="Y19" i="2"/>
  <c r="Y42" i="2" s="1"/>
  <c r="Z19" i="2"/>
  <c r="Z42" i="2" s="1"/>
  <c r="AA19" i="2"/>
  <c r="AA42" i="2" s="1"/>
  <c r="AB19" i="2"/>
  <c r="AB42" i="2" s="1"/>
  <c r="AC19" i="2"/>
  <c r="AC42" i="2" s="1"/>
  <c r="AD19" i="2"/>
  <c r="AD42" i="2" s="1"/>
  <c r="AE19" i="2"/>
  <c r="AE42" i="2" s="1"/>
  <c r="AF19" i="2"/>
  <c r="AG19" i="2"/>
  <c r="AH19" i="2"/>
  <c r="AI19" i="2"/>
  <c r="AK21" i="2"/>
  <c r="AK22" i="2"/>
  <c r="X25" i="2"/>
  <c r="X194" i="2" s="1"/>
  <c r="Y25" i="2"/>
  <c r="Y194" i="2" s="1"/>
  <c r="Z25" i="2"/>
  <c r="AA25" i="2"/>
  <c r="AA194" i="2" s="1"/>
  <c r="AB25" i="2"/>
  <c r="AD25" i="2"/>
  <c r="AD194" i="2" s="1"/>
  <c r="AE25" i="2"/>
  <c r="AE194" i="2" s="1"/>
  <c r="W26" i="2"/>
  <c r="W27" i="2" s="1"/>
  <c r="X26" i="2"/>
  <c r="Y26" i="2"/>
  <c r="Z26" i="2"/>
  <c r="AB26" i="2"/>
  <c r="AB195" i="2" s="1"/>
  <c r="AC26" i="2"/>
  <c r="AC195" i="2" s="1"/>
  <c r="X27" i="2"/>
  <c r="X196" i="2" s="1"/>
  <c r="Z27" i="2"/>
  <c r="AA27" i="2"/>
  <c r="AA196" i="2" s="1"/>
  <c r="AE27" i="2"/>
  <c r="X28" i="2"/>
  <c r="Y28" i="2"/>
  <c r="AC28" i="2"/>
  <c r="AC197" i="2" s="1"/>
  <c r="AD28" i="2"/>
  <c r="AD197" i="2" s="1"/>
  <c r="AE28" i="2"/>
  <c r="Y29" i="2"/>
  <c r="Y198" i="2" s="1"/>
  <c r="AB29" i="2"/>
  <c r="AB198" i="2" s="1"/>
  <c r="AC29" i="2"/>
  <c r="AC198" i="2" s="1"/>
  <c r="AD29" i="2"/>
  <c r="AE29" i="2"/>
  <c r="AE198" i="2" s="1"/>
  <c r="X30" i="2"/>
  <c r="AA30" i="2"/>
  <c r="AB30" i="2"/>
  <c r="AC30" i="2"/>
  <c r="AD30" i="2"/>
  <c r="X31" i="2"/>
  <c r="AA31" i="2"/>
  <c r="AB31" i="2"/>
  <c r="AB200" i="2" s="1"/>
  <c r="AD31" i="2"/>
  <c r="AE31" i="2"/>
  <c r="AE200" i="2" s="1"/>
  <c r="X32" i="2"/>
  <c r="X201" i="2" s="1"/>
  <c r="AB32" i="2"/>
  <c r="AB201" i="2" s="1"/>
  <c r="AC32" i="2"/>
  <c r="AC201" i="2" s="1"/>
  <c r="AE32" i="2"/>
  <c r="X33" i="2"/>
  <c r="AA33" i="2"/>
  <c r="AA202" i="2" s="1"/>
  <c r="AC33" i="2"/>
  <c r="AD33" i="2"/>
  <c r="AD202" i="2" s="1"/>
  <c r="AE33" i="2"/>
  <c r="AE202" i="2" s="1"/>
  <c r="X34" i="2"/>
  <c r="X203" i="2" s="1"/>
  <c r="AA34" i="2"/>
  <c r="AB34" i="2"/>
  <c r="AB203" i="2" s="1"/>
  <c r="AC34" i="2"/>
  <c r="AD34" i="2"/>
  <c r="AE34" i="2"/>
  <c r="X35" i="2"/>
  <c r="X204" i="2" s="1"/>
  <c r="Y35" i="2"/>
  <c r="Y204" i="2" s="1"/>
  <c r="Z35" i="2"/>
  <c r="Z204" i="2" s="1"/>
  <c r="AA35" i="2"/>
  <c r="AA204" i="2" s="1"/>
  <c r="AB35" i="2"/>
  <c r="AB204" i="2" s="1"/>
  <c r="AE35" i="2"/>
  <c r="AE204" i="2" s="1"/>
  <c r="X36" i="2"/>
  <c r="Y36" i="2"/>
  <c r="Z36" i="2"/>
  <c r="AA36" i="2"/>
  <c r="AA118" i="2" s="1"/>
  <c r="AA205" i="2" s="1"/>
  <c r="AB36" i="2"/>
  <c r="AC36" i="2"/>
  <c r="AE36" i="2"/>
  <c r="X37" i="2"/>
  <c r="X206" i="2" s="1"/>
  <c r="Z37" i="2"/>
  <c r="AA37" i="2"/>
  <c r="AC37" i="2"/>
  <c r="X38" i="2"/>
  <c r="Y38" i="2"/>
  <c r="AA38" i="2"/>
  <c r="AB38" i="2"/>
  <c r="AC38" i="2"/>
  <c r="Y39" i="2"/>
  <c r="Z39" i="2"/>
  <c r="AA39" i="2"/>
  <c r="AB39" i="2"/>
  <c r="AC39" i="2"/>
  <c r="AE39" i="2"/>
  <c r="X40" i="2"/>
  <c r="Z40" i="2"/>
  <c r="AA40" i="2"/>
  <c r="AB40" i="2"/>
  <c r="AD40" i="2"/>
  <c r="AF40" i="2"/>
  <c r="AG40" i="2"/>
  <c r="AH40" i="2"/>
  <c r="X41" i="2"/>
  <c r="Y41" i="2"/>
  <c r="Y210" i="2" s="1"/>
  <c r="Z41" i="2"/>
  <c r="AA41" i="2"/>
  <c r="AB41" i="2"/>
  <c r="AB210" i="2" s="1"/>
  <c r="AC41" i="2"/>
  <c r="AC210" i="2" s="1"/>
  <c r="AD41" i="2"/>
  <c r="AD210" i="2" s="1"/>
  <c r="AH41" i="2"/>
  <c r="AH210" i="2" s="1"/>
  <c r="X42" i="2"/>
  <c r="Z50" i="2"/>
  <c r="Z51" i="2"/>
  <c r="AA51" i="2" s="1"/>
  <c r="Z52" i="2"/>
  <c r="AE51" i="2"/>
  <c r="Z54" i="2"/>
  <c r="AA54" i="2" s="1"/>
  <c r="Z55" i="2"/>
  <c r="AE52" i="2" s="1"/>
  <c r="V56" i="2"/>
  <c r="Z56" i="2"/>
  <c r="AA56" i="2" s="1"/>
  <c r="AF53" i="2" s="1"/>
  <c r="W144" i="2" s="1"/>
  <c r="V57" i="2"/>
  <c r="V81" i="2" s="1"/>
  <c r="AD78" i="2" s="1"/>
  <c r="AD54" i="2"/>
  <c r="V145" i="2" s="1"/>
  <c r="Z57" i="2"/>
  <c r="AE54" i="2" s="1"/>
  <c r="V58" i="2"/>
  <c r="AD55" i="2" s="1"/>
  <c r="V146" i="2" s="1"/>
  <c r="Z58" i="2"/>
  <c r="AE55" i="2" s="1"/>
  <c r="V59" i="2"/>
  <c r="V83" i="2" s="1"/>
  <c r="AD80" i="2" s="1"/>
  <c r="AD56" i="2"/>
  <c r="V147" i="2" s="1"/>
  <c r="Z59" i="2"/>
  <c r="AA59" i="2" s="1"/>
  <c r="AF56" i="2" s="1"/>
  <c r="W147" i="2" s="1"/>
  <c r="V60" i="2"/>
  <c r="AD57" i="2" s="1"/>
  <c r="V148" i="2" s="1"/>
  <c r="Z60" i="2"/>
  <c r="AE57" i="2" s="1"/>
  <c r="AA60" i="2"/>
  <c r="AF57" i="2" s="1"/>
  <c r="W148" i="2" s="1"/>
  <c r="V61" i="2"/>
  <c r="V85" i="2" s="1"/>
  <c r="AD82" i="2" s="1"/>
  <c r="Z61" i="2"/>
  <c r="AA61" i="2" s="1"/>
  <c r="AF58" i="2" s="1"/>
  <c r="W149" i="2" s="1"/>
  <c r="V62" i="2"/>
  <c r="V86" i="2" s="1"/>
  <c r="AD83" i="2" s="1"/>
  <c r="Z62" i="2"/>
  <c r="V63" i="2"/>
  <c r="AD60" i="2" s="1"/>
  <c r="V151" i="2" s="1"/>
  <c r="Z63" i="2"/>
  <c r="AA63" i="2"/>
  <c r="AF60" i="2" s="1"/>
  <c r="W151" i="2" s="1"/>
  <c r="V64" i="2"/>
  <c r="AD61" i="2" s="1"/>
  <c r="V152" i="2" s="1"/>
  <c r="Z64" i="2"/>
  <c r="V65" i="2"/>
  <c r="V89" i="2" s="1"/>
  <c r="AD86" i="2" s="1"/>
  <c r="Z65" i="2"/>
  <c r="AE63" i="2" s="1"/>
  <c r="V66" i="2"/>
  <c r="V90" i="2" s="1"/>
  <c r="AD87" i="2" s="1"/>
  <c r="Z66" i="2"/>
  <c r="AA66" i="2" s="1"/>
  <c r="V67" i="2"/>
  <c r="AD64" i="2" s="1"/>
  <c r="V155" i="2" s="1"/>
  <c r="Z67" i="2"/>
  <c r="AA67" i="2" s="1"/>
  <c r="AF64" i="2" s="1"/>
  <c r="W155" i="2"/>
  <c r="V68" i="2"/>
  <c r="V92" i="2" s="1"/>
  <c r="AD89" i="2" s="1"/>
  <c r="AD65" i="2"/>
  <c r="V156" i="2" s="1"/>
  <c r="Z68" i="2"/>
  <c r="AE65" i="2" s="1"/>
  <c r="V69" i="2"/>
  <c r="AD66" i="2" s="1"/>
  <c r="V157" i="2" s="1"/>
  <c r="Z69" i="2"/>
  <c r="AE66" i="2" s="1"/>
  <c r="V70" i="2"/>
  <c r="Z70" i="2"/>
  <c r="AE67" i="2" s="1"/>
  <c r="X71" i="2"/>
  <c r="Y71" i="2"/>
  <c r="Z74" i="2"/>
  <c r="AA74" i="2"/>
  <c r="AB74" i="2"/>
  <c r="Z75" i="2"/>
  <c r="AE74" i="2" s="1"/>
  <c r="AB75" i="2"/>
  <c r="Y76" i="2"/>
  <c r="Z78" i="2"/>
  <c r="Z79" i="2"/>
  <c r="AA79" i="2" s="1"/>
  <c r="V80" i="2"/>
  <c r="Z80" i="2"/>
  <c r="AE77" i="2" s="1"/>
  <c r="Z81" i="2"/>
  <c r="AE78" i="2" s="1"/>
  <c r="Z82" i="2"/>
  <c r="AE79" i="2" s="1"/>
  <c r="Z83" i="2"/>
  <c r="AE80" i="2" s="1"/>
  <c r="V84" i="2"/>
  <c r="AD81" i="2" s="1"/>
  <c r="Z84" i="2"/>
  <c r="AE81" i="2"/>
  <c r="Z85" i="2"/>
  <c r="AE82" i="2" s="1"/>
  <c r="Z86" i="2"/>
  <c r="AE83" i="2" s="1"/>
  <c r="V87" i="2"/>
  <c r="AD84" i="2"/>
  <c r="Z87" i="2"/>
  <c r="Z88" i="2"/>
  <c r="AE85" i="2" s="1"/>
  <c r="Z89" i="2"/>
  <c r="AE86" i="2" s="1"/>
  <c r="Z90" i="2"/>
  <c r="AA90" i="2" s="1"/>
  <c r="V91" i="2"/>
  <c r="AD88" i="2" s="1"/>
  <c r="Z91" i="2"/>
  <c r="AE88" i="2"/>
  <c r="Z92" i="2"/>
  <c r="AE89" i="2" s="1"/>
  <c r="V93" i="2"/>
  <c r="AD90" i="2" s="1"/>
  <c r="Z93" i="2"/>
  <c r="AE90" i="2"/>
  <c r="AA93" i="2"/>
  <c r="AF90" i="2" s="1"/>
  <c r="X157" i="2" s="1"/>
  <c r="Z94" i="2"/>
  <c r="X95" i="2"/>
  <c r="X100" i="2"/>
  <c r="X101" i="2" s="1"/>
  <c r="AA100" i="2"/>
  <c r="AA101" i="2" s="1"/>
  <c r="AB100" i="2"/>
  <c r="AB101" i="2" s="1"/>
  <c r="AC100" i="2"/>
  <c r="AC101" i="2" s="1"/>
  <c r="AC103" i="2" s="1"/>
  <c r="AC104" i="2" s="1"/>
  <c r="AC199" i="2" s="1"/>
  <c r="AD100" i="2"/>
  <c r="AE100" i="2"/>
  <c r="AF100" i="2"/>
  <c r="AF101" i="2" s="1"/>
  <c r="AF102" i="2" s="1"/>
  <c r="AG100" i="2"/>
  <c r="AH100" i="2"/>
  <c r="AH101" i="2" s="1"/>
  <c r="Y101" i="2"/>
  <c r="Z101" i="2"/>
  <c r="AD101" i="2"/>
  <c r="AE101" i="2"/>
  <c r="AE103" i="2" s="1"/>
  <c r="AG101" i="2"/>
  <c r="AG102" i="2" s="1"/>
  <c r="AC102" i="2"/>
  <c r="Y108" i="2"/>
  <c r="Z108" i="2"/>
  <c r="AH108" i="2"/>
  <c r="AH110" i="2" s="1"/>
  <c r="AH111" i="2" s="1"/>
  <c r="Y109" i="2"/>
  <c r="Z109" i="2"/>
  <c r="X110" i="2"/>
  <c r="X111" i="2" s="1"/>
  <c r="X112" i="2" s="1"/>
  <c r="X207" i="2" s="1"/>
  <c r="AA110" i="2"/>
  <c r="AA111" i="2" s="1"/>
  <c r="AB110" i="2"/>
  <c r="AB111" i="2" s="1"/>
  <c r="AB112" i="2" s="1"/>
  <c r="AB207" i="2" s="1"/>
  <c r="AC110" i="2"/>
  <c r="AC111" i="2" s="1"/>
  <c r="AC112" i="2" s="1"/>
  <c r="AC207" i="2" s="1"/>
  <c r="AD110" i="2"/>
  <c r="AD111" i="2" s="1"/>
  <c r="AE110" i="2"/>
  <c r="AE111" i="2" s="1"/>
  <c r="AF110" i="2"/>
  <c r="AF111" i="2" s="1"/>
  <c r="AG110" i="2"/>
  <c r="AG111" i="2" s="1"/>
  <c r="AA113" i="2"/>
  <c r="AA211" i="2" s="1"/>
  <c r="Y116" i="2"/>
  <c r="Z116" i="2"/>
  <c r="X117" i="2"/>
  <c r="Y117" i="2"/>
  <c r="Z117" i="2"/>
  <c r="AA117" i="2"/>
  <c r="AB117" i="2"/>
  <c r="AC117" i="2"/>
  <c r="AD117" i="2"/>
  <c r="AE117" i="2"/>
  <c r="AF117" i="2"/>
  <c r="AG117" i="2"/>
  <c r="AH117" i="2"/>
  <c r="AE118" i="2"/>
  <c r="AE205" i="2" s="1"/>
  <c r="AK119" i="2"/>
  <c r="AR120" i="2"/>
  <c r="AS120" i="2" s="1"/>
  <c r="Y121" i="2"/>
  <c r="Z121" i="2"/>
  <c r="Z122" i="2"/>
  <c r="X122" i="2"/>
  <c r="Y122" i="2"/>
  <c r="AA122" i="2"/>
  <c r="AB122" i="2"/>
  <c r="AC122" i="2"/>
  <c r="AD122" i="2"/>
  <c r="AE122" i="2"/>
  <c r="AE123" i="2" s="1"/>
  <c r="AF122" i="2"/>
  <c r="AG122" i="2"/>
  <c r="AH122" i="2"/>
  <c r="AC123" i="2"/>
  <c r="Y126" i="2"/>
  <c r="Z126" i="2"/>
  <c r="Z128" i="2" s="1"/>
  <c r="Z129" i="2" s="1"/>
  <c r="Y127" i="2"/>
  <c r="Z127" i="2"/>
  <c r="X128" i="2"/>
  <c r="X129" i="2" s="1"/>
  <c r="Y128" i="2"/>
  <c r="Y129" i="2" s="1"/>
  <c r="AA128" i="2"/>
  <c r="AA129" i="2" s="1"/>
  <c r="AB128" i="2"/>
  <c r="AB129" i="2" s="1"/>
  <c r="AB130" i="2" s="1"/>
  <c r="AB208" i="2" s="1"/>
  <c r="AC128" i="2"/>
  <c r="AD128" i="2"/>
  <c r="AE128" i="2"/>
  <c r="AE129" i="2" s="1"/>
  <c r="AE130" i="2" s="1"/>
  <c r="AE208" i="2" s="1"/>
  <c r="AF128" i="2"/>
  <c r="AG128" i="2"/>
  <c r="AG129" i="2" s="1"/>
  <c r="AG132" i="2" s="1"/>
  <c r="AG209" i="2" s="1"/>
  <c r="AH128" i="2"/>
  <c r="AH129" i="2" s="1"/>
  <c r="AH132" i="2" s="1"/>
  <c r="AH209" i="2" s="1"/>
  <c r="AC129" i="2"/>
  <c r="AC130" i="2" s="1"/>
  <c r="AC208" i="2" s="1"/>
  <c r="AD129" i="2"/>
  <c r="AD130" i="2" s="1"/>
  <c r="AD208" i="2" s="1"/>
  <c r="AF129" i="2"/>
  <c r="V141" i="2"/>
  <c r="V142" i="2"/>
  <c r="V143" i="2"/>
  <c r="V144" i="2"/>
  <c r="V194" i="2"/>
  <c r="W194" i="2"/>
  <c r="Z194" i="2"/>
  <c r="AB194" i="2"/>
  <c r="AC194" i="2"/>
  <c r="AK194" i="2"/>
  <c r="V195" i="2"/>
  <c r="W195" i="2"/>
  <c r="X195" i="2"/>
  <c r="Y195" i="2"/>
  <c r="Z195" i="2"/>
  <c r="AK195" i="2"/>
  <c r="V196" i="2"/>
  <c r="Z196" i="2"/>
  <c r="AE196" i="2"/>
  <c r="AK196" i="2"/>
  <c r="V197" i="2"/>
  <c r="X197" i="2"/>
  <c r="Y197" i="2"/>
  <c r="AE197" i="2"/>
  <c r="AF197" i="2"/>
  <c r="AK197" i="2"/>
  <c r="V198" i="2"/>
  <c r="X198" i="2"/>
  <c r="AD198" i="2"/>
  <c r="AK198" i="2"/>
  <c r="V199" i="2"/>
  <c r="AK199" i="2"/>
  <c r="V200" i="2"/>
  <c r="X200" i="2"/>
  <c r="AA200" i="2"/>
  <c r="AD200" i="2"/>
  <c r="AK200" i="2"/>
  <c r="V201" i="2"/>
  <c r="AE201" i="2"/>
  <c r="AK201" i="2"/>
  <c r="V202" i="2"/>
  <c r="X202" i="2"/>
  <c r="AB202" i="2"/>
  <c r="AC202" i="2"/>
  <c r="AK202" i="2"/>
  <c r="V203" i="2"/>
  <c r="AA203" i="2"/>
  <c r="AC203" i="2"/>
  <c r="AD203" i="2"/>
  <c r="AE203" i="2"/>
  <c r="AK203" i="2"/>
  <c r="V204" i="2"/>
  <c r="AK204" i="2"/>
  <c r="V205" i="2"/>
  <c r="AK205" i="2"/>
  <c r="V206" i="2"/>
  <c r="AC206" i="2"/>
  <c r="AK206" i="2"/>
  <c r="V207" i="2"/>
  <c r="AK207" i="2"/>
  <c r="V208" i="2"/>
  <c r="AK208" i="2"/>
  <c r="V209" i="2"/>
  <c r="AK209" i="2"/>
  <c r="V210" i="2"/>
  <c r="X210" i="2"/>
  <c r="Z210" i="2"/>
  <c r="AA210" i="2"/>
  <c r="AK210" i="2"/>
  <c r="V211" i="2"/>
  <c r="AK211" i="2"/>
  <c r="M5" i="9"/>
  <c r="N5" i="9" s="1"/>
  <c r="O5" i="9" s="1"/>
  <c r="P5" i="9" s="1"/>
  <c r="Q5" i="9" s="1"/>
  <c r="R5" i="9" s="1"/>
  <c r="S5" i="9" s="1"/>
  <c r="T5" i="9" s="1"/>
  <c r="U5" i="9" s="1"/>
  <c r="V5" i="9" s="1"/>
  <c r="W5" i="9" s="1"/>
  <c r="X5" i="9" s="1"/>
  <c r="Y5" i="9" s="1"/>
  <c r="Z5" i="9" s="1"/>
  <c r="AA5" i="9" s="1"/>
  <c r="AB5" i="9" s="1"/>
  <c r="AC5" i="9" s="1"/>
  <c r="AD5" i="9" s="1"/>
  <c r="AE5" i="9" s="1"/>
  <c r="AF5" i="9" s="1"/>
  <c r="AG5" i="9" s="1"/>
  <c r="AH5" i="9" s="1"/>
  <c r="R27" i="9"/>
  <c r="S27" i="9" s="1"/>
  <c r="T27" i="9" s="1"/>
  <c r="U27" i="9" s="1"/>
  <c r="V27" i="9" s="1"/>
  <c r="W27" i="9" s="1"/>
  <c r="X27" i="9" s="1"/>
  <c r="Y27" i="9" s="1"/>
  <c r="Z27" i="9" s="1"/>
  <c r="AA27" i="9" s="1"/>
  <c r="AB27" i="9" s="1"/>
  <c r="AC27" i="9" s="1"/>
  <c r="AD27" i="9" s="1"/>
  <c r="AE27" i="9" s="1"/>
  <c r="AF27" i="9" s="1"/>
  <c r="F28" i="9"/>
  <c r="F51" i="9" s="1"/>
  <c r="CA36" i="9" s="1"/>
  <c r="G28" i="9"/>
  <c r="F29" i="9"/>
  <c r="F52" i="9" s="1"/>
  <c r="CA37" i="9" s="1"/>
  <c r="G29" i="9"/>
  <c r="F30" i="9"/>
  <c r="F53" i="9" s="1"/>
  <c r="CA38" i="9" s="1"/>
  <c r="G30" i="9"/>
  <c r="F31" i="9"/>
  <c r="F54" i="9" s="1"/>
  <c r="CA39" i="9" s="1"/>
  <c r="G31" i="9"/>
  <c r="F32" i="9"/>
  <c r="G32" i="9"/>
  <c r="F33" i="9"/>
  <c r="F56" i="9" s="1"/>
  <c r="G33" i="9"/>
  <c r="F34" i="9"/>
  <c r="G34" i="9"/>
  <c r="F35" i="9"/>
  <c r="G35" i="9"/>
  <c r="F36" i="9"/>
  <c r="F59" i="9" s="1"/>
  <c r="CA44" i="9" s="1"/>
  <c r="G36" i="9"/>
  <c r="BM36" i="9"/>
  <c r="F37" i="9"/>
  <c r="G37" i="9"/>
  <c r="BJ37" i="9"/>
  <c r="BJ38" i="9" s="1"/>
  <c r="BJ39" i="9" s="1"/>
  <c r="BM37" i="9"/>
  <c r="DK37" i="9"/>
  <c r="DK38" i="9" s="1"/>
  <c r="DK39" i="9" s="1"/>
  <c r="DK40" i="9" s="1"/>
  <c r="DK41" i="9" s="1"/>
  <c r="DK42" i="9" s="1"/>
  <c r="DK43" i="9" s="1"/>
  <c r="DK44" i="9" s="1"/>
  <c r="DK45" i="9" s="1"/>
  <c r="DK46" i="9" s="1"/>
  <c r="DK47" i="9" s="1"/>
  <c r="DK48" i="9" s="1"/>
  <c r="DK49" i="9" s="1"/>
  <c r="DK50" i="9" s="1"/>
  <c r="DK51" i="9" s="1"/>
  <c r="DK52" i="9" s="1"/>
  <c r="DK53" i="9" s="1"/>
  <c r="DK54" i="9" s="1"/>
  <c r="DK55" i="9" s="1"/>
  <c r="DK56" i="9" s="1"/>
  <c r="DK57" i="9" s="1"/>
  <c r="DK58" i="9" s="1"/>
  <c r="DK59" i="9" s="1"/>
  <c r="DK60" i="9" s="1"/>
  <c r="DK61" i="9" s="1"/>
  <c r="F38" i="9"/>
  <c r="F61" i="9" s="1"/>
  <c r="G38" i="9"/>
  <c r="BM38" i="9"/>
  <c r="F39" i="9"/>
  <c r="G39" i="9"/>
  <c r="BM39" i="9"/>
  <c r="F40" i="9"/>
  <c r="F63" i="9" s="1"/>
  <c r="G40" i="9"/>
  <c r="BM40" i="9"/>
  <c r="F41" i="9"/>
  <c r="F64" i="9" s="1"/>
  <c r="G41" i="9"/>
  <c r="BM41" i="9"/>
  <c r="DY41" i="9"/>
  <c r="DY42" i="9" s="1"/>
  <c r="DY43" i="9" s="1"/>
  <c r="DY44" i="9" s="1"/>
  <c r="DY45" i="9" s="1"/>
  <c r="DY46" i="9" s="1"/>
  <c r="DY47" i="9" s="1"/>
  <c r="DY48" i="9" s="1"/>
  <c r="DY49" i="9" s="1"/>
  <c r="DY50" i="9" s="1"/>
  <c r="DY51" i="9" s="1"/>
  <c r="DY52" i="9" s="1"/>
  <c r="DY53" i="9" s="1"/>
  <c r="DY54" i="9" s="1"/>
  <c r="DY55" i="9" s="1"/>
  <c r="DY56" i="9" s="1"/>
  <c r="DY57" i="9" s="1"/>
  <c r="DY58" i="9" s="1"/>
  <c r="DY59" i="9" s="1"/>
  <c r="DY60" i="9" s="1"/>
  <c r="DY61" i="9" s="1"/>
  <c r="DY62" i="9" s="1"/>
  <c r="DY63" i="9" s="1"/>
  <c r="F42" i="9"/>
  <c r="F65" i="9" s="1"/>
  <c r="G42" i="9"/>
  <c r="BM42" i="9"/>
  <c r="F43" i="9"/>
  <c r="G43" i="9"/>
  <c r="BM43" i="9"/>
  <c r="F44" i="9"/>
  <c r="G44" i="9"/>
  <c r="BM44" i="9"/>
  <c r="F45" i="9"/>
  <c r="F68" i="9" s="1"/>
  <c r="G45" i="9"/>
  <c r="BM45" i="9"/>
  <c r="N46" i="9"/>
  <c r="O46" i="9"/>
  <c r="BM46" i="9"/>
  <c r="H47" i="9"/>
  <c r="I47" i="9" s="1"/>
  <c r="BM47" i="9"/>
  <c r="BM48" i="9"/>
  <c r="F49" i="9"/>
  <c r="G49" i="9"/>
  <c r="BM49" i="9"/>
  <c r="G50" i="9"/>
  <c r="CB35" i="9" s="1"/>
  <c r="CB79" i="9" s="1"/>
  <c r="BM50" i="9"/>
  <c r="BM51" i="9"/>
  <c r="BM52" i="9"/>
  <c r="BM53" i="9"/>
  <c r="BM54" i="9"/>
  <c r="F55" i="9"/>
  <c r="CA40" i="9" s="1"/>
  <c r="BM55" i="9"/>
  <c r="BM56" i="9"/>
  <c r="F57" i="9"/>
  <c r="BM57" i="9"/>
  <c r="F58" i="9"/>
  <c r="CA43" i="9" s="1"/>
  <c r="BM58" i="9"/>
  <c r="CC58" i="9"/>
  <c r="BM59" i="9"/>
  <c r="CA59" i="9"/>
  <c r="CA80" i="9" s="1"/>
  <c r="DA59" i="9"/>
  <c r="F60" i="9"/>
  <c r="CA45" i="9" s="1"/>
  <c r="BM60" i="9"/>
  <c r="DA60" i="9"/>
  <c r="DA81" i="9" s="1"/>
  <c r="AY9" i="17" s="1"/>
  <c r="AU31" i="17" s="1"/>
  <c r="BM61" i="9"/>
  <c r="F62" i="9"/>
  <c r="CA47" i="9" s="1"/>
  <c r="F66" i="9"/>
  <c r="CA51" i="9" s="1"/>
  <c r="F67" i="9"/>
  <c r="CA52" i="9" s="1"/>
  <c r="BL81" i="9"/>
  <c r="BJ82" i="9"/>
  <c r="BJ83" i="9"/>
  <c r="CA72" i="9"/>
  <c r="CA93" i="9" s="1"/>
  <c r="G74" i="9"/>
  <c r="H74" i="9"/>
  <c r="H117" i="9" s="1"/>
  <c r="CA75" i="9"/>
  <c r="CA96" i="9" s="1"/>
  <c r="F78" i="9"/>
  <c r="CZ79" i="9"/>
  <c r="DA79" i="9"/>
  <c r="BN100" i="9"/>
  <c r="BN102" i="9"/>
  <c r="F100" i="9"/>
  <c r="F121" i="9"/>
  <c r="H148" i="9"/>
  <c r="C1" i="1"/>
  <c r="X2" i="1"/>
  <c r="X25" i="1" s="1"/>
  <c r="Y2" i="1"/>
  <c r="Z2" i="1"/>
  <c r="AA2" i="1"/>
  <c r="AB2" i="1"/>
  <c r="AC2" i="1"/>
  <c r="AD2" i="1"/>
  <c r="AE2" i="1"/>
  <c r="AF2" i="1"/>
  <c r="BL2" i="11" s="1"/>
  <c r="AG2" i="1"/>
  <c r="AH2" i="1"/>
  <c r="AJ2" i="1"/>
  <c r="S3" i="1"/>
  <c r="S4" i="1" s="1"/>
  <c r="S5" i="1" s="1"/>
  <c r="S6" i="1" s="1"/>
  <c r="S7" i="1" s="1"/>
  <c r="W3" i="1"/>
  <c r="AG3" i="11" s="1"/>
  <c r="X3" i="1"/>
  <c r="X26" i="1" s="1"/>
  <c r="X156" i="1" s="1"/>
  <c r="Y3" i="1"/>
  <c r="Z3" i="1"/>
  <c r="AA3" i="1"/>
  <c r="AB3" i="1"/>
  <c r="AC3" i="1"/>
  <c r="AD3" i="1"/>
  <c r="AE3" i="1"/>
  <c r="AF3" i="1"/>
  <c r="AG3" i="1"/>
  <c r="AH3" i="1"/>
  <c r="AJ3" i="1"/>
  <c r="W4" i="1"/>
  <c r="AG4" i="11" s="1"/>
  <c r="X4" i="1"/>
  <c r="X27" i="1" s="1"/>
  <c r="X157" i="1" s="1"/>
  <c r="Y4" i="1"/>
  <c r="Z4" i="1"/>
  <c r="AA4" i="1"/>
  <c r="AB4" i="1"/>
  <c r="AC4" i="1"/>
  <c r="AD4" i="1"/>
  <c r="AE4" i="1"/>
  <c r="AF4" i="1"/>
  <c r="BL4" i="11" s="1"/>
  <c r="AG4" i="1"/>
  <c r="AH4" i="1"/>
  <c r="AJ4" i="1"/>
  <c r="X5" i="1"/>
  <c r="X28" i="1" s="1"/>
  <c r="Y5" i="1"/>
  <c r="Z5" i="1"/>
  <c r="AA5" i="1"/>
  <c r="AB5" i="1"/>
  <c r="AC5" i="1"/>
  <c r="AD5" i="1"/>
  <c r="AD28" i="1" s="1"/>
  <c r="AE5" i="1"/>
  <c r="AE28" i="1" s="1"/>
  <c r="AE158" i="1" s="1"/>
  <c r="AF5" i="1"/>
  <c r="BL5" i="11" s="1"/>
  <c r="AG5" i="1"/>
  <c r="AH5" i="1"/>
  <c r="AJ5" i="1"/>
  <c r="AJ158" i="1" s="1"/>
  <c r="AK158" i="1" s="1"/>
  <c r="X6" i="1"/>
  <c r="X29" i="1" s="1"/>
  <c r="Y6" i="1"/>
  <c r="Z6" i="1"/>
  <c r="Z29" i="1" s="1"/>
  <c r="Z159" i="1" s="1"/>
  <c r="AA6" i="1"/>
  <c r="AB6" i="1"/>
  <c r="AB29" i="1" s="1"/>
  <c r="AB159" i="1" s="1"/>
  <c r="AC6" i="1"/>
  <c r="AD6" i="1"/>
  <c r="AE6" i="1"/>
  <c r="AE29" i="1" s="1"/>
  <c r="AE159" i="1" s="1"/>
  <c r="AF6" i="1"/>
  <c r="BL6" i="11" s="1"/>
  <c r="AG6" i="1"/>
  <c r="AH6" i="1"/>
  <c r="AJ6" i="1"/>
  <c r="AJ159" i="1" s="1"/>
  <c r="AK159" i="1" s="1"/>
  <c r="X7" i="1"/>
  <c r="Y7" i="1"/>
  <c r="Z7" i="1"/>
  <c r="Z30" i="1" s="1"/>
  <c r="AA7" i="1"/>
  <c r="AB7" i="1"/>
  <c r="AC7" i="1"/>
  <c r="AD7" i="1"/>
  <c r="AE7" i="1"/>
  <c r="AF7" i="1"/>
  <c r="BL7" i="11" s="1"/>
  <c r="AG7" i="1"/>
  <c r="AH7" i="1"/>
  <c r="AJ7" i="1"/>
  <c r="AJ160" i="1" s="1"/>
  <c r="AK160" i="1" s="1"/>
  <c r="S8" i="1"/>
  <c r="S9" i="1" s="1"/>
  <c r="S10" i="1" s="1"/>
  <c r="S11" i="1" s="1"/>
  <c r="S12" i="1" s="1"/>
  <c r="S13" i="1" s="1"/>
  <c r="S14" i="1" s="1"/>
  <c r="S15" i="1" s="1"/>
  <c r="S16" i="1" s="1"/>
  <c r="S17" i="1" s="1"/>
  <c r="S18" i="1" s="1"/>
  <c r="S19" i="1" s="1"/>
  <c r="S20" i="1" s="1"/>
  <c r="S21" i="1" s="1"/>
  <c r="S22" i="1" s="1"/>
  <c r="S23" i="1" s="1"/>
  <c r="S24" i="1" s="1"/>
  <c r="S25" i="1" s="1"/>
  <c r="S26" i="1" s="1"/>
  <c r="S27" i="1" s="1"/>
  <c r="S28" i="1" s="1"/>
  <c r="S29" i="1" s="1"/>
  <c r="S30" i="1" s="1"/>
  <c r="S31" i="1" s="1"/>
  <c r="S32" i="1" s="1"/>
  <c r="S33" i="1" s="1"/>
  <c r="S34" i="1" s="1"/>
  <c r="S35" i="1" s="1"/>
  <c r="S36" i="1" s="1"/>
  <c r="S37" i="1" s="1"/>
  <c r="S38" i="1" s="1"/>
  <c r="S39" i="1" s="1"/>
  <c r="S40" i="1" s="1"/>
  <c r="S41" i="1" s="1"/>
  <c r="S42" i="1" s="1"/>
  <c r="S43" i="1" s="1"/>
  <c r="S44" i="1" s="1"/>
  <c r="S45" i="1" s="1"/>
  <c r="S46" i="1" s="1"/>
  <c r="S47" i="1" s="1"/>
  <c r="S48" i="1" s="1"/>
  <c r="S49" i="1" s="1"/>
  <c r="S50" i="1" s="1"/>
  <c r="S51" i="1" s="1"/>
  <c r="S52" i="1" s="1"/>
  <c r="S53" i="1" s="1"/>
  <c r="S54" i="1" s="1"/>
  <c r="S55" i="1" s="1"/>
  <c r="S56" i="1" s="1"/>
  <c r="S57" i="1" s="1"/>
  <c r="S58" i="1" s="1"/>
  <c r="S59" i="1" s="1"/>
  <c r="S60" i="1" s="1"/>
  <c r="S61" i="1" s="1"/>
  <c r="S62" i="1" s="1"/>
  <c r="S63" i="1" s="1"/>
  <c r="S64" i="1" s="1"/>
  <c r="S65" i="1" s="1"/>
  <c r="S66" i="1" s="1"/>
  <c r="S67" i="1" s="1"/>
  <c r="S68" i="1" s="1"/>
  <c r="S69" i="1" s="1"/>
  <c r="S70" i="1" s="1"/>
  <c r="S71" i="1" s="1"/>
  <c r="S72" i="1" s="1"/>
  <c r="S73" i="1" s="1"/>
  <c r="S74" i="1" s="1"/>
  <c r="S75" i="1" s="1"/>
  <c r="S76" i="1" s="1"/>
  <c r="X8" i="1"/>
  <c r="X31" i="1" s="1"/>
  <c r="Y8" i="1"/>
  <c r="Z8" i="1"/>
  <c r="AA8" i="1"/>
  <c r="AB8" i="1"/>
  <c r="AC8" i="1"/>
  <c r="AD8" i="1"/>
  <c r="AD31" i="1" s="1"/>
  <c r="AE8" i="1"/>
  <c r="AF8" i="1"/>
  <c r="BL8" i="11" s="1"/>
  <c r="AG8" i="1"/>
  <c r="AH8" i="1"/>
  <c r="AJ8" i="1"/>
  <c r="AJ161" i="1" s="1"/>
  <c r="AK161" i="1" s="1"/>
  <c r="X9" i="1"/>
  <c r="Y9" i="1"/>
  <c r="Z9" i="1"/>
  <c r="AA9" i="1"/>
  <c r="AB9" i="1"/>
  <c r="AC9" i="1"/>
  <c r="AD9" i="1"/>
  <c r="AD32" i="1" s="1"/>
  <c r="AD162" i="1" s="1"/>
  <c r="AE9" i="1"/>
  <c r="AF9" i="1"/>
  <c r="BL9" i="11" s="1"/>
  <c r="AG9" i="1"/>
  <c r="AH9" i="1"/>
  <c r="AJ9" i="1"/>
  <c r="AJ162" i="1" s="1"/>
  <c r="AK162" i="1" s="1"/>
  <c r="X10" i="1"/>
  <c r="Y10" i="1"/>
  <c r="Z10" i="1"/>
  <c r="AA10" i="1"/>
  <c r="AB10" i="1"/>
  <c r="AC10" i="1"/>
  <c r="AD10" i="1"/>
  <c r="AD33" i="1" s="1"/>
  <c r="AD163" i="1" s="1"/>
  <c r="AE10" i="1"/>
  <c r="AF10" i="1"/>
  <c r="BL10" i="11" s="1"/>
  <c r="AG10" i="1"/>
  <c r="AH10" i="1"/>
  <c r="AJ10" i="1"/>
  <c r="AJ163" i="1" s="1"/>
  <c r="AK163" i="1" s="1"/>
  <c r="X11" i="1"/>
  <c r="Y11" i="1"/>
  <c r="Z11" i="1"/>
  <c r="AA11" i="1"/>
  <c r="AB11" i="1"/>
  <c r="AB34" i="1" s="1"/>
  <c r="AB164" i="1" s="1"/>
  <c r="AC11" i="1"/>
  <c r="AD11" i="1"/>
  <c r="AD34" i="1" s="1"/>
  <c r="AD164" i="1" s="1"/>
  <c r="AE11" i="1"/>
  <c r="AF11" i="1"/>
  <c r="BL11" i="11" s="1"/>
  <c r="AG11" i="1"/>
  <c r="AH11" i="1"/>
  <c r="AJ11" i="1"/>
  <c r="AJ164" i="1" s="1"/>
  <c r="AK164" i="1" s="1"/>
  <c r="AL11" i="1"/>
  <c r="AM11" i="1"/>
  <c r="AP11" i="1"/>
  <c r="AQ11" i="1"/>
  <c r="AT11" i="1"/>
  <c r="AV11" i="1"/>
  <c r="AW11" i="1"/>
  <c r="X12" i="1"/>
  <c r="Y12" i="1"/>
  <c r="Z12" i="1"/>
  <c r="AA12" i="1"/>
  <c r="AA35" i="1" s="1"/>
  <c r="AA165" i="1" s="1"/>
  <c r="AB12" i="1"/>
  <c r="AB35" i="1" s="1"/>
  <c r="AB165" i="1" s="1"/>
  <c r="AC12" i="1"/>
  <c r="AD12" i="1"/>
  <c r="AE12" i="1"/>
  <c r="AE35" i="1" s="1"/>
  <c r="AE165" i="1" s="1"/>
  <c r="AF12" i="1"/>
  <c r="BL12" i="11" s="1"/>
  <c r="AG12" i="1"/>
  <c r="AH12" i="1"/>
  <c r="AJ12" i="1"/>
  <c r="AJ165" i="1" s="1"/>
  <c r="AK165" i="1" s="1"/>
  <c r="X13" i="1"/>
  <c r="Y13" i="1"/>
  <c r="Z13" i="1"/>
  <c r="AA13" i="1"/>
  <c r="AA36" i="1" s="1"/>
  <c r="AA116" i="1" s="1"/>
  <c r="AB13" i="1"/>
  <c r="AB36" i="1" s="1"/>
  <c r="AB116" i="1" s="1"/>
  <c r="AC13" i="1"/>
  <c r="AC36" i="1" s="1"/>
  <c r="AD13" i="1"/>
  <c r="AE13" i="1"/>
  <c r="AE36" i="1" s="1"/>
  <c r="AF13" i="1"/>
  <c r="BL13" i="11" s="1"/>
  <c r="AG13" i="1"/>
  <c r="AH13" i="1"/>
  <c r="AJ13" i="1"/>
  <c r="AJ166" i="1" s="1"/>
  <c r="AK166" i="1" s="1"/>
  <c r="X14" i="1"/>
  <c r="Y14" i="1"/>
  <c r="Z14" i="1"/>
  <c r="AA14" i="1"/>
  <c r="AA37" i="1" s="1"/>
  <c r="AA121" i="1" s="1"/>
  <c r="AB14" i="1"/>
  <c r="AB37" i="1" s="1"/>
  <c r="AB121" i="1" s="1"/>
  <c r="AC14" i="1"/>
  <c r="AC37" i="1" s="1"/>
  <c r="AD14" i="1"/>
  <c r="AE14" i="1"/>
  <c r="AF14" i="1"/>
  <c r="BL14" i="11" s="1"/>
  <c r="AG14" i="1"/>
  <c r="AH14" i="1"/>
  <c r="AJ14" i="1"/>
  <c r="AJ167" i="1" s="1"/>
  <c r="AK167" i="1" s="1"/>
  <c r="X15" i="1"/>
  <c r="Y15" i="1"/>
  <c r="Y38" i="1" s="1"/>
  <c r="Z15" i="1"/>
  <c r="AA15" i="1"/>
  <c r="AA38" i="1" s="1"/>
  <c r="AA110" i="1" s="1"/>
  <c r="AA168" i="1" s="1"/>
  <c r="AB15" i="1"/>
  <c r="AB38" i="1" s="1"/>
  <c r="AB110" i="1" s="1"/>
  <c r="AB168" i="1" s="1"/>
  <c r="AC15" i="1"/>
  <c r="AD15" i="1"/>
  <c r="AE15" i="1"/>
  <c r="AF15" i="1"/>
  <c r="BL15" i="11" s="1"/>
  <c r="AG15" i="1"/>
  <c r="AH15" i="1"/>
  <c r="AJ15" i="1"/>
  <c r="AJ168" i="1" s="1"/>
  <c r="AK168" i="1" s="1"/>
  <c r="X16" i="1"/>
  <c r="Y16" i="1"/>
  <c r="Y39" i="1" s="1"/>
  <c r="Z16" i="1"/>
  <c r="Z39" i="1" s="1"/>
  <c r="AA16" i="1"/>
  <c r="AA39" i="1" s="1"/>
  <c r="AA128" i="1" s="1"/>
  <c r="AA169" i="1" s="1"/>
  <c r="AB16" i="1"/>
  <c r="AB39" i="1" s="1"/>
  <c r="AB128" i="1" s="1"/>
  <c r="AB169" i="1" s="1"/>
  <c r="AC16" i="1"/>
  <c r="AD16" i="1"/>
  <c r="AE16" i="1"/>
  <c r="AF16" i="1"/>
  <c r="BL16" i="11" s="1"/>
  <c r="AG16" i="1"/>
  <c r="AH16" i="1"/>
  <c r="AJ16" i="1"/>
  <c r="X17" i="1"/>
  <c r="X40" i="1" s="1"/>
  <c r="Y17" i="1"/>
  <c r="Z17" i="1"/>
  <c r="Z40" i="1" s="1"/>
  <c r="AA17" i="1"/>
  <c r="AA40" i="1" s="1"/>
  <c r="AA130" i="1" s="1"/>
  <c r="AA170" i="1" s="1"/>
  <c r="AB17" i="1"/>
  <c r="AB40" i="1" s="1"/>
  <c r="AB130" i="1" s="1"/>
  <c r="AB170" i="1" s="1"/>
  <c r="AC17" i="1"/>
  <c r="AC40" i="1" s="1"/>
  <c r="AD17" i="1"/>
  <c r="AE17" i="1"/>
  <c r="AF17" i="1"/>
  <c r="BL17" i="11" s="1"/>
  <c r="AG17" i="1"/>
  <c r="AH17" i="1"/>
  <c r="AJ17" i="1"/>
  <c r="AJ170" i="1" s="1"/>
  <c r="AK170" i="1" s="1"/>
  <c r="AP17" i="1"/>
  <c r="X18" i="1"/>
  <c r="Y18" i="1"/>
  <c r="Z18" i="1"/>
  <c r="Z41" i="1" s="1"/>
  <c r="Z171" i="1" s="1"/>
  <c r="AA18" i="1"/>
  <c r="AB18" i="1"/>
  <c r="AC18" i="1"/>
  <c r="AD18" i="1"/>
  <c r="AD41" i="1" s="1"/>
  <c r="AE18" i="1"/>
  <c r="AF18" i="1"/>
  <c r="BL18" i="11" s="1"/>
  <c r="AG18" i="1"/>
  <c r="AH18" i="1"/>
  <c r="AJ18" i="1"/>
  <c r="X19" i="1"/>
  <c r="Y19" i="1"/>
  <c r="Y42" i="1" s="1"/>
  <c r="Z19" i="1"/>
  <c r="Z42" i="1" s="1"/>
  <c r="AA19" i="1"/>
  <c r="AA42" i="1" s="1"/>
  <c r="AA111" i="1" s="1"/>
  <c r="AA172" i="1" s="1"/>
  <c r="AB19" i="1"/>
  <c r="AC19" i="1"/>
  <c r="AD19" i="1"/>
  <c r="AE19" i="1"/>
  <c r="AF19" i="1"/>
  <c r="BL19" i="11" s="1"/>
  <c r="AG19" i="1"/>
  <c r="AH19" i="1"/>
  <c r="AJ19" i="1"/>
  <c r="Y25" i="1"/>
  <c r="Y155" i="1" s="1"/>
  <c r="Z25" i="1"/>
  <c r="Z155" i="1" s="1"/>
  <c r="AA25" i="1"/>
  <c r="AA155" i="1" s="1"/>
  <c r="AB25" i="1"/>
  <c r="AB155" i="1" s="1"/>
  <c r="AC25" i="1"/>
  <c r="AC155" i="1" s="1"/>
  <c r="AD25" i="1"/>
  <c r="AD155" i="1" s="1"/>
  <c r="AE25" i="1"/>
  <c r="AE155" i="1" s="1"/>
  <c r="W26" i="1"/>
  <c r="W27" i="1" s="1"/>
  <c r="W28" i="1" s="1"/>
  <c r="Y26" i="1"/>
  <c r="Z26" i="1"/>
  <c r="Z156" i="1" s="1"/>
  <c r="AA26" i="1"/>
  <c r="AB26" i="1"/>
  <c r="AB156" i="1" s="1"/>
  <c r="AC26" i="1"/>
  <c r="AC156" i="1" s="1"/>
  <c r="AD26" i="1"/>
  <c r="AD156" i="1" s="1"/>
  <c r="AE26" i="1"/>
  <c r="AE156" i="1" s="1"/>
  <c r="Y27" i="1"/>
  <c r="Y157" i="1"/>
  <c r="Z27" i="1"/>
  <c r="AA27" i="1"/>
  <c r="AA157" i="1" s="1"/>
  <c r="AB27" i="1"/>
  <c r="AB157" i="1" s="1"/>
  <c r="AC27" i="1"/>
  <c r="AC157" i="1" s="1"/>
  <c r="AE27" i="1"/>
  <c r="AE157" i="1" s="1"/>
  <c r="Y28" i="1"/>
  <c r="Z28" i="1"/>
  <c r="AA28" i="1"/>
  <c r="AC28" i="1"/>
  <c r="AF28" i="1"/>
  <c r="AF158" i="1" s="1"/>
  <c r="Y29" i="1"/>
  <c r="AA29" i="1"/>
  <c r="AC29" i="1"/>
  <c r="AC159" i="1" s="1"/>
  <c r="AD29" i="1"/>
  <c r="AD159" i="1" s="1"/>
  <c r="Y30" i="1"/>
  <c r="AA30" i="1"/>
  <c r="AB30" i="1"/>
  <c r="AC30" i="1"/>
  <c r="AD30" i="1"/>
  <c r="AE30" i="1"/>
  <c r="Y31" i="1"/>
  <c r="Z31" i="1"/>
  <c r="Z161" i="1" s="1"/>
  <c r="AA31" i="1"/>
  <c r="AB31" i="1"/>
  <c r="AB161" i="1" s="1"/>
  <c r="AC31" i="1"/>
  <c r="AC161" i="1" s="1"/>
  <c r="AE31" i="1"/>
  <c r="AE161" i="1" s="1"/>
  <c r="X32" i="1"/>
  <c r="Y32" i="1"/>
  <c r="Z32" i="1"/>
  <c r="Z162" i="1" s="1"/>
  <c r="AA32" i="1"/>
  <c r="AB32" i="1"/>
  <c r="AB162" i="1" s="1"/>
  <c r="AC32" i="1"/>
  <c r="AC162" i="1" s="1"/>
  <c r="AE32" i="1"/>
  <c r="X33" i="1"/>
  <c r="X163" i="1" s="1"/>
  <c r="Y33" i="1"/>
  <c r="Y163" i="1" s="1"/>
  <c r="Z33" i="1"/>
  <c r="AA33" i="1"/>
  <c r="AA163" i="1" s="1"/>
  <c r="AB33" i="1"/>
  <c r="AB163" i="1" s="1"/>
  <c r="AC33" i="1"/>
  <c r="AE33" i="1"/>
  <c r="AE163" i="1" s="1"/>
  <c r="X34" i="1"/>
  <c r="X164" i="1" s="1"/>
  <c r="Y34" i="1"/>
  <c r="Y164" i="1" s="1"/>
  <c r="Z34" i="1"/>
  <c r="Z164" i="1" s="1"/>
  <c r="AA34" i="1"/>
  <c r="AC34" i="1"/>
  <c r="AC164" i="1" s="1"/>
  <c r="AE34" i="1"/>
  <c r="AE164" i="1" s="1"/>
  <c r="AF34" i="1"/>
  <c r="AF164" i="1" s="1"/>
  <c r="X35" i="1"/>
  <c r="Y35" i="1"/>
  <c r="Y165" i="1" s="1"/>
  <c r="Z35" i="1"/>
  <c r="AC35" i="1"/>
  <c r="AC165" i="1" s="1"/>
  <c r="AD35" i="1"/>
  <c r="AD165" i="1" s="1"/>
  <c r="AH35" i="1"/>
  <c r="AH165" i="1" s="1"/>
  <c r="X36" i="1"/>
  <c r="Y36" i="1"/>
  <c r="Z36" i="1"/>
  <c r="AD36" i="1"/>
  <c r="X37" i="1"/>
  <c r="X121" i="1" s="1"/>
  <c r="Y37" i="1"/>
  <c r="Z37" i="1"/>
  <c r="AD37" i="1"/>
  <c r="AE37" i="1"/>
  <c r="X38" i="1"/>
  <c r="Z38" i="1"/>
  <c r="AC38" i="1"/>
  <c r="AD38" i="1"/>
  <c r="AE38" i="1"/>
  <c r="X39" i="1"/>
  <c r="AC39" i="1"/>
  <c r="AD39" i="1"/>
  <c r="AD128" i="1" s="1"/>
  <c r="AD169" i="1" s="1"/>
  <c r="AE39" i="1"/>
  <c r="Y40" i="1"/>
  <c r="AD40" i="1"/>
  <c r="AE40" i="1"/>
  <c r="AF40" i="1"/>
  <c r="AG40" i="1"/>
  <c r="AH40" i="1"/>
  <c r="AI40" i="1" s="1"/>
  <c r="X41" i="1"/>
  <c r="Y41" i="1"/>
  <c r="AB41" i="1"/>
  <c r="AC41" i="1"/>
  <c r="AE41" i="1"/>
  <c r="AH41" i="1"/>
  <c r="AI41" i="1" s="1"/>
  <c r="X42" i="1"/>
  <c r="AB42" i="1"/>
  <c r="AC42" i="1"/>
  <c r="AD42" i="1"/>
  <c r="AE42" i="1"/>
  <c r="AF54" i="1"/>
  <c r="AF55" i="1"/>
  <c r="AF56" i="1"/>
  <c r="AF57" i="1"/>
  <c r="AF58" i="1"/>
  <c r="AD59" i="1"/>
  <c r="AE59" i="1"/>
  <c r="AF59" i="1"/>
  <c r="AF60" i="1"/>
  <c r="AF61" i="1"/>
  <c r="AF62" i="1"/>
  <c r="AF63" i="1"/>
  <c r="AF64" i="1"/>
  <c r="AF65" i="1"/>
  <c r="AF66" i="1"/>
  <c r="AF67" i="1"/>
  <c r="AF72" i="1"/>
  <c r="AF50" i="1"/>
  <c r="AF73" i="1"/>
  <c r="AF51" i="1" s="1"/>
  <c r="AF74" i="1"/>
  <c r="AF52" i="1" s="1"/>
  <c r="AF75" i="1"/>
  <c r="AF53" i="1" s="1"/>
  <c r="B78" i="1"/>
  <c r="B79" i="1" s="1"/>
  <c r="C78" i="1"/>
  <c r="C79" i="1" s="1"/>
  <c r="D78" i="1"/>
  <c r="D79" i="1" s="1"/>
  <c r="E78" i="1"/>
  <c r="E79" i="1" s="1"/>
  <c r="F78" i="1"/>
  <c r="G78" i="1"/>
  <c r="G79" i="1" s="1"/>
  <c r="H78" i="1"/>
  <c r="I78" i="1"/>
  <c r="I79" i="1" s="1"/>
  <c r="J78" i="1"/>
  <c r="J79" i="1" s="1"/>
  <c r="K78" i="1"/>
  <c r="L78" i="1"/>
  <c r="L79" i="1" s="1"/>
  <c r="M78" i="1"/>
  <c r="M79" i="1" s="1"/>
  <c r="N78" i="1"/>
  <c r="N79" i="1" s="1"/>
  <c r="O78" i="1"/>
  <c r="O79" i="1" s="1"/>
  <c r="P78" i="1"/>
  <c r="P79" i="1" s="1"/>
  <c r="Q78" i="1"/>
  <c r="Q79" i="1" s="1"/>
  <c r="F79" i="1"/>
  <c r="H79" i="1"/>
  <c r="K79" i="1"/>
  <c r="AF92" i="1"/>
  <c r="X98" i="1"/>
  <c r="X99" i="1" s="1"/>
  <c r="AA98" i="1"/>
  <c r="AA99" i="1" s="1"/>
  <c r="AB98" i="1"/>
  <c r="AB99" i="1" s="1"/>
  <c r="AB101" i="1" s="1"/>
  <c r="AB102" i="1" s="1"/>
  <c r="AB160" i="1" s="1"/>
  <c r="AC98" i="1"/>
  <c r="AC99" i="1" s="1"/>
  <c r="AD98" i="1"/>
  <c r="AD99" i="1" s="1"/>
  <c r="AD100" i="1" s="1"/>
  <c r="AE98" i="1"/>
  <c r="AF98" i="1"/>
  <c r="AF99" i="1" s="1"/>
  <c r="AG98" i="1"/>
  <c r="AG99" i="1" s="1"/>
  <c r="AG101" i="1" s="1"/>
  <c r="AG102" i="1" s="1"/>
  <c r="AG160" i="1" s="1"/>
  <c r="AH98" i="1"/>
  <c r="AH99" i="1" s="1"/>
  <c r="AH101" i="1" s="1"/>
  <c r="AH102" i="1" s="1"/>
  <c r="AH160" i="1" s="1"/>
  <c r="Y99" i="1"/>
  <c r="Z99" i="1"/>
  <c r="AE99" i="1"/>
  <c r="AE101" i="1" s="1"/>
  <c r="AH100" i="1"/>
  <c r="Y106" i="1"/>
  <c r="Z106" i="1"/>
  <c r="AH106" i="1"/>
  <c r="Y107" i="1"/>
  <c r="Z107" i="1"/>
  <c r="Z108" i="1" s="1"/>
  <c r="Z109" i="1" s="1"/>
  <c r="Z110" i="1" s="1"/>
  <c r="Z168" i="1" s="1"/>
  <c r="X108" i="1"/>
  <c r="X109" i="1" s="1"/>
  <c r="AA108" i="1"/>
  <c r="AB108" i="1"/>
  <c r="AB109" i="1"/>
  <c r="AC108" i="1"/>
  <c r="AC109" i="1" s="1"/>
  <c r="AC111" i="1" s="1"/>
  <c r="AC172" i="1" s="1"/>
  <c r="AD108" i="1"/>
  <c r="AD109" i="1" s="1"/>
  <c r="AD110" i="1" s="1"/>
  <c r="AD168" i="1" s="1"/>
  <c r="AE108" i="1"/>
  <c r="AE109" i="1" s="1"/>
  <c r="AF108" i="1"/>
  <c r="AF109" i="1" s="1"/>
  <c r="AG108" i="1"/>
  <c r="AH108" i="1"/>
  <c r="AH109" i="1" s="1"/>
  <c r="AA109" i="1"/>
  <c r="AG109" i="1"/>
  <c r="Y114" i="1"/>
  <c r="Y115" i="1"/>
  <c r="Z114" i="1"/>
  <c r="X115" i="1"/>
  <c r="X116" i="1" s="1"/>
  <c r="Z115" i="1"/>
  <c r="Z130" i="1" s="1"/>
  <c r="Z116" i="1"/>
  <c r="AA115" i="1"/>
  <c r="AB115" i="1"/>
  <c r="AC115" i="1"/>
  <c r="AD115" i="1"/>
  <c r="AE115" i="1"/>
  <c r="AF115" i="1"/>
  <c r="AG115" i="1"/>
  <c r="AH115" i="1"/>
  <c r="AJ117" i="1"/>
  <c r="AQ118" i="1"/>
  <c r="AR118" i="1" s="1"/>
  <c r="Y119" i="1"/>
  <c r="Z119" i="1"/>
  <c r="Z120" i="1" s="1"/>
  <c r="X120" i="1"/>
  <c r="Y120" i="1"/>
  <c r="AA120" i="1"/>
  <c r="AB120" i="1"/>
  <c r="AC120" i="1"/>
  <c r="AD120" i="1"/>
  <c r="AE120" i="1"/>
  <c r="AF120" i="1"/>
  <c r="AG120" i="1"/>
  <c r="AH120" i="1"/>
  <c r="Y124" i="1"/>
  <c r="Z124" i="1"/>
  <c r="Z126" i="1" s="1"/>
  <c r="Z127" i="1" s="1"/>
  <c r="Y125" i="1"/>
  <c r="Z125" i="1"/>
  <c r="X126" i="1"/>
  <c r="X127" i="1" s="1"/>
  <c r="X128" i="1" s="1"/>
  <c r="X169" i="1" s="1"/>
  <c r="Y126" i="1"/>
  <c r="Y127" i="1" s="1"/>
  <c r="AA126" i="1"/>
  <c r="AA127" i="1" s="1"/>
  <c r="AB126" i="1"/>
  <c r="AB127" i="1" s="1"/>
  <c r="AC126" i="1"/>
  <c r="AC127" i="1" s="1"/>
  <c r="AC128" i="1" s="1"/>
  <c r="AC169" i="1" s="1"/>
  <c r="AD126" i="1"/>
  <c r="AD127" i="1" s="1"/>
  <c r="AD130" i="1" s="1"/>
  <c r="AD170" i="1" s="1"/>
  <c r="AE126" i="1"/>
  <c r="AE127" i="1" s="1"/>
  <c r="AE128" i="1" s="1"/>
  <c r="AE169" i="1" s="1"/>
  <c r="AF126" i="1"/>
  <c r="AF127" i="1" s="1"/>
  <c r="AG126" i="1"/>
  <c r="AG127" i="1" s="1"/>
  <c r="AH126" i="1"/>
  <c r="AH127" i="1" s="1"/>
  <c r="AH130" i="1" s="1"/>
  <c r="AH170" i="1" s="1"/>
  <c r="Y133" i="1"/>
  <c r="Z133" i="1"/>
  <c r="AG135" i="1"/>
  <c r="AF135" i="1" s="1"/>
  <c r="AE135" i="1" s="1"/>
  <c r="AD135" i="1" s="1"/>
  <c r="AC135" i="1" s="1"/>
  <c r="AK135" i="1"/>
  <c r="Y137" i="1"/>
  <c r="Z137" i="1"/>
  <c r="AH138" i="1"/>
  <c r="AH139" i="1" s="1"/>
  <c r="AI138" i="1"/>
  <c r="Y142" i="1"/>
  <c r="Y143" i="1" s="1"/>
  <c r="Z142" i="1"/>
  <c r="X143" i="1"/>
  <c r="Z143" i="1"/>
  <c r="AA143" i="1"/>
  <c r="AA144" i="1" s="1"/>
  <c r="AB143" i="1"/>
  <c r="AC143" i="1"/>
  <c r="AD143" i="1"/>
  <c r="AD144" i="1"/>
  <c r="AE143" i="1"/>
  <c r="AF143" i="1"/>
  <c r="AG143" i="1"/>
  <c r="AH143" i="1"/>
  <c r="Y154" i="1"/>
  <c r="Z154" i="1" s="1"/>
  <c r="AA154" i="1" s="1"/>
  <c r="AB154" i="1" s="1"/>
  <c r="AC154" i="1" s="1"/>
  <c r="AD154" i="1" s="1"/>
  <c r="AE154" i="1" s="1"/>
  <c r="AF154" i="1" s="1"/>
  <c r="AG154" i="1" s="1"/>
  <c r="AH154" i="1" s="1"/>
  <c r="V155" i="1"/>
  <c r="W155" i="1"/>
  <c r="X155" i="1"/>
  <c r="AJ155" i="1"/>
  <c r="AK155" i="1"/>
  <c r="V156" i="1"/>
  <c r="Y156" i="1"/>
  <c r="AA156" i="1"/>
  <c r="AJ156" i="1"/>
  <c r="AK156" i="1" s="1"/>
  <c r="V157" i="1"/>
  <c r="Z157" i="1"/>
  <c r="AJ157" i="1"/>
  <c r="AK157" i="1" s="1"/>
  <c r="V158" i="1"/>
  <c r="AA158" i="1"/>
  <c r="V159" i="1"/>
  <c r="X159" i="1"/>
  <c r="Y159" i="1"/>
  <c r="AA159" i="1"/>
  <c r="V160" i="1"/>
  <c r="V161" i="1"/>
  <c r="X161" i="1"/>
  <c r="Y161" i="1"/>
  <c r="AA161" i="1"/>
  <c r="AD161" i="1"/>
  <c r="V162" i="1"/>
  <c r="X162" i="1"/>
  <c r="Y162" i="1"/>
  <c r="AA162" i="1"/>
  <c r="AE162" i="1"/>
  <c r="V163" i="1"/>
  <c r="Z163" i="1"/>
  <c r="AC163" i="1"/>
  <c r="V164" i="1"/>
  <c r="AA164" i="1"/>
  <c r="V165" i="1"/>
  <c r="X165" i="1"/>
  <c r="Z165" i="1"/>
  <c r="V166" i="1"/>
  <c r="V167" i="1"/>
  <c r="V168" i="1"/>
  <c r="V169" i="1"/>
  <c r="V170" i="1"/>
  <c r="V171" i="1"/>
  <c r="AJ171" i="1"/>
  <c r="AK171" i="1" s="1"/>
  <c r="V172" i="1"/>
  <c r="AJ172" i="1"/>
  <c r="AK172" i="1" s="1"/>
  <c r="AB171" i="1"/>
  <c r="AE121" i="1"/>
  <c r="Y121" i="1"/>
  <c r="BN98" i="9"/>
  <c r="BN95" i="9"/>
  <c r="BN92" i="9"/>
  <c r="BN87" i="9"/>
  <c r="AF49" i="9"/>
  <c r="AA94" i="2"/>
  <c r="AA92" i="2"/>
  <c r="AF89" i="2" s="1"/>
  <c r="X156" i="2" s="1"/>
  <c r="AA91" i="2"/>
  <c r="AA89" i="2"/>
  <c r="AA88" i="2"/>
  <c r="AF85" i="2" s="1"/>
  <c r="X152" i="2" s="1"/>
  <c r="AE87" i="2"/>
  <c r="AA86" i="2"/>
  <c r="AF83" i="2" s="1"/>
  <c r="AA85" i="2"/>
  <c r="AF82" i="2" s="1"/>
  <c r="X149" i="2" s="1"/>
  <c r="AA84" i="2"/>
  <c r="AF81" i="2" s="1"/>
  <c r="X148" i="2" s="1"/>
  <c r="AA83" i="2"/>
  <c r="AF80" i="2" s="1"/>
  <c r="X147" i="2" s="1"/>
  <c r="AA82" i="2"/>
  <c r="AF79" i="2" s="1"/>
  <c r="X146" i="2" s="1"/>
  <c r="AA81" i="2"/>
  <c r="AF78" i="2" s="1"/>
  <c r="X145" i="2" s="1"/>
  <c r="AA80" i="2"/>
  <c r="AF77" i="2" s="1"/>
  <c r="X144" i="2" s="1"/>
  <c r="AA78" i="2"/>
  <c r="AF76" i="2" s="1"/>
  <c r="X143" i="2"/>
  <c r="AA75" i="2"/>
  <c r="AA70" i="2"/>
  <c r="AF67" i="2" s="1"/>
  <c r="W158" i="2" s="1"/>
  <c r="AA69" i="2"/>
  <c r="AF66" i="2" s="1"/>
  <c r="W157" i="2" s="1"/>
  <c r="AA68" i="2"/>
  <c r="AF65" i="2" s="1"/>
  <c r="W156" i="2" s="1"/>
  <c r="AE64" i="2"/>
  <c r="AE62" i="2"/>
  <c r="AE60" i="2"/>
  <c r="AE58" i="2"/>
  <c r="AE56" i="2"/>
  <c r="I74" i="5"/>
  <c r="I117" i="5" s="1"/>
  <c r="AA65" i="2"/>
  <c r="AA57" i="2"/>
  <c r="AF54" i="2" s="1"/>
  <c r="W145" i="2" s="1"/>
  <c r="AA52" i="2"/>
  <c r="AF51" i="2"/>
  <c r="W142" i="2" s="1"/>
  <c r="AD130" i="4"/>
  <c r="AE130" i="4"/>
  <c r="AH150" i="4"/>
  <c r="AH151" i="4"/>
  <c r="AE122" i="4"/>
  <c r="AD122" i="4"/>
  <c r="AE121" i="4"/>
  <c r="AD121" i="4"/>
  <c r="AE118" i="4"/>
  <c r="AD118" i="4"/>
  <c r="AD117" i="4"/>
  <c r="AE117" i="4"/>
  <c r="P88" i="4"/>
  <c r="I183" i="4"/>
  <c r="P180" i="4" s="1"/>
  <c r="K258" i="4" s="1"/>
  <c r="I180" i="4"/>
  <c r="P177" i="4" s="1"/>
  <c r="K255" i="4" s="1"/>
  <c r="I177" i="4"/>
  <c r="P174" i="4" s="1"/>
  <c r="K252" i="4" s="1"/>
  <c r="I176" i="4"/>
  <c r="P173" i="4" s="1"/>
  <c r="K251" i="4" s="1"/>
  <c r="I172" i="4"/>
  <c r="P169" i="4" s="1"/>
  <c r="O168" i="4"/>
  <c r="AN153" i="4"/>
  <c r="AP153" i="4"/>
  <c r="O152" i="4"/>
  <c r="AE131" i="4"/>
  <c r="AC129" i="4"/>
  <c r="AE128" i="4"/>
  <c r="AD124" i="4"/>
  <c r="X124" i="4"/>
  <c r="P121" i="4" s="1"/>
  <c r="I251" i="4" s="1"/>
  <c r="X118" i="4"/>
  <c r="AD115" i="4"/>
  <c r="O90" i="4"/>
  <c r="O89" i="4"/>
  <c r="O60" i="4"/>
  <c r="I54" i="4"/>
  <c r="I36" i="4"/>
  <c r="P35" i="4" s="1"/>
  <c r="I26" i="4"/>
  <c r="I20" i="4"/>
  <c r="P17" i="4" s="1"/>
  <c r="I18" i="4"/>
  <c r="P15" i="4" s="1"/>
  <c r="O11" i="4"/>
  <c r="O10" i="4"/>
  <c r="AN207" i="6"/>
  <c r="K290" i="6"/>
  <c r="D290" i="6"/>
  <c r="W195" i="6"/>
  <c r="D216" i="6"/>
  <c r="AH207" i="6"/>
  <c r="I290" i="6"/>
  <c r="AH206" i="6"/>
  <c r="AF143" i="6"/>
  <c r="AF144" i="6"/>
  <c r="AF145" i="6"/>
  <c r="AF146" i="6"/>
  <c r="AF147" i="6"/>
  <c r="AC125" i="6"/>
  <c r="AB121" i="6"/>
  <c r="I159" i="4"/>
  <c r="P156" i="4" s="1"/>
  <c r="X130" i="4"/>
  <c r="P127" i="4" s="1"/>
  <c r="I257" i="4" s="1"/>
  <c r="I104" i="4"/>
  <c r="I103" i="4"/>
  <c r="I98" i="4"/>
  <c r="P95" i="4" s="1"/>
  <c r="I95" i="4"/>
  <c r="P92" i="4" s="1"/>
  <c r="I94" i="4"/>
  <c r="P91" i="4" s="1"/>
  <c r="I79" i="4"/>
  <c r="P76" i="4" s="1"/>
  <c r="I75" i="4"/>
  <c r="I70" i="4"/>
  <c r="P67" i="4" s="1"/>
  <c r="I69" i="4"/>
  <c r="P66" i="4" s="1"/>
  <c r="I68" i="4"/>
  <c r="P65" i="4" s="1"/>
  <c r="O9" i="4"/>
  <c r="AN153" i="6"/>
  <c r="AL153" i="6"/>
  <c r="N22" i="6"/>
  <c r="R25" i="6" s="1"/>
  <c r="N48" i="6"/>
  <c r="R51" i="6" s="1"/>
  <c r="AL150" i="6"/>
  <c r="AN150" i="6"/>
  <c r="AC130" i="6"/>
  <c r="AB130" i="6"/>
  <c r="AC129" i="6"/>
  <c r="AF140" i="6"/>
  <c r="X127" i="6"/>
  <c r="AC120" i="6"/>
  <c r="AB120" i="6"/>
  <c r="I186" i="6"/>
  <c r="N183" i="6" s="1"/>
  <c r="K208" i="6" s="1"/>
  <c r="I183" i="6"/>
  <c r="N180" i="6" s="1"/>
  <c r="K205" i="6" s="1"/>
  <c r="I182" i="6"/>
  <c r="N179" i="6" s="1"/>
  <c r="K204" i="6" s="1"/>
  <c r="K267" i="6" s="1"/>
  <c r="I181" i="6"/>
  <c r="N178" i="6" s="1"/>
  <c r="K203" i="6" s="1"/>
  <c r="I179" i="6"/>
  <c r="N176" i="6" s="1"/>
  <c r="K201" i="6" s="1"/>
  <c r="AN201" i="6" s="1"/>
  <c r="I178" i="6"/>
  <c r="N175" i="6" s="1"/>
  <c r="K200" i="6" s="1"/>
  <c r="AN200" i="6" s="1"/>
  <c r="I177" i="6"/>
  <c r="N174" i="6" s="1"/>
  <c r="K199" i="6"/>
  <c r="AN199" i="6" s="1"/>
  <c r="I175" i="6"/>
  <c r="N172" i="6" s="1"/>
  <c r="K197" i="6" s="1"/>
  <c r="AN197" i="6" s="1"/>
  <c r="I174" i="6"/>
  <c r="N171" i="6" s="1"/>
  <c r="K196" i="6" s="1"/>
  <c r="AN196" i="6" s="1"/>
  <c r="I173" i="6"/>
  <c r="N170" i="6" s="1"/>
  <c r="K195" i="6" s="1"/>
  <c r="AN195" i="6"/>
  <c r="I172" i="6"/>
  <c r="N169" i="6"/>
  <c r="K194" i="6" s="1"/>
  <c r="AN194" i="6" s="1"/>
  <c r="I159" i="6"/>
  <c r="N156" i="6"/>
  <c r="J207" i="6" s="1"/>
  <c r="AE156" i="6"/>
  <c r="I156" i="6"/>
  <c r="N153" i="6" s="1"/>
  <c r="J204" i="6" s="1"/>
  <c r="AK204" i="6" s="1"/>
  <c r="I155" i="6"/>
  <c r="N152" i="6"/>
  <c r="J203" i="6" s="1"/>
  <c r="I154" i="6"/>
  <c r="N151" i="6" s="1"/>
  <c r="J202" i="6" s="1"/>
  <c r="AK202" i="6" s="1"/>
  <c r="I144" i="6"/>
  <c r="N142" i="6" s="1"/>
  <c r="J193" i="6" s="1"/>
  <c r="AK193" i="6" s="1"/>
  <c r="AN142" i="6"/>
  <c r="N45" i="6"/>
  <c r="R48" i="6" s="1"/>
  <c r="I142" i="6"/>
  <c r="I141" i="6"/>
  <c r="AN140" i="6"/>
  <c r="N21" i="6"/>
  <c r="R24" i="6" s="1"/>
  <c r="N47" i="6"/>
  <c r="R50" i="6" s="1"/>
  <c r="V134" i="6"/>
  <c r="N131" i="6" s="1"/>
  <c r="I208" i="6" s="1"/>
  <c r="AB131" i="6"/>
  <c r="V131" i="6"/>
  <c r="V130" i="6"/>
  <c r="AA127" i="6" s="1"/>
  <c r="AD127" i="6" s="1"/>
  <c r="V129" i="6"/>
  <c r="AB127" i="6"/>
  <c r="V127" i="6"/>
  <c r="N116" i="6"/>
  <c r="I193" i="6" s="1"/>
  <c r="AH193" i="6" s="1"/>
  <c r="N49" i="6"/>
  <c r="R52" i="6" s="1"/>
  <c r="N25" i="6"/>
  <c r="R28" i="6" s="1"/>
  <c r="N51" i="6"/>
  <c r="R54" i="6" s="1"/>
  <c r="AA130" i="6"/>
  <c r="AA129" i="6"/>
  <c r="N121" i="6"/>
  <c r="I198" i="6"/>
  <c r="AH198" i="6" s="1"/>
  <c r="AA121" i="6"/>
  <c r="AC118" i="6"/>
  <c r="AB118" i="6"/>
  <c r="V122" i="6"/>
  <c r="N119" i="6" s="1"/>
  <c r="I196" i="6" s="1"/>
  <c r="AH196" i="6" s="1"/>
  <c r="V121" i="6"/>
  <c r="V120" i="6"/>
  <c r="AC116" i="6"/>
  <c r="AA116" i="6"/>
  <c r="M73" i="6"/>
  <c r="M21" i="6"/>
  <c r="M47" i="6"/>
  <c r="F41" i="3"/>
  <c r="U41" i="3" s="1"/>
  <c r="AH15" i="3" s="1"/>
  <c r="F48" i="3"/>
  <c r="U48" i="3" s="1"/>
  <c r="AJ8" i="3"/>
  <c r="AJ29" i="3" s="1"/>
  <c r="J12" i="9" s="1"/>
  <c r="AH8" i="3"/>
  <c r="AH29" i="3" s="1"/>
  <c r="H12" i="9" s="1"/>
  <c r="AL9" i="3"/>
  <c r="AL30" i="3" s="1"/>
  <c r="AL6" i="3"/>
  <c r="AL27" i="3" s="1"/>
  <c r="AL4" i="3"/>
  <c r="AL25" i="3" s="1"/>
  <c r="AH4" i="3"/>
  <c r="AH25" i="3" s="1"/>
  <c r="H8" i="9" s="1"/>
  <c r="AL3" i="3"/>
  <c r="AL24" i="3" s="1"/>
  <c r="AJ3" i="3"/>
  <c r="AJ24" i="3" s="1"/>
  <c r="J7" i="9" s="1"/>
  <c r="AM2" i="3"/>
  <c r="AM23" i="3" s="1"/>
  <c r="AK2" i="3"/>
  <c r="AK23" i="3" s="1"/>
  <c r="AI2" i="3"/>
  <c r="AG2" i="3"/>
  <c r="AM38" i="3"/>
  <c r="AK38" i="3"/>
  <c r="AI17" i="3"/>
  <c r="AI38" i="3" s="1"/>
  <c r="I21" i="9" s="1"/>
  <c r="D41" i="3"/>
  <c r="T41" i="3" s="1"/>
  <c r="AG15" i="3" s="1"/>
  <c r="AL16" i="3"/>
  <c r="AL37" i="3" s="1"/>
  <c r="AJ16" i="3"/>
  <c r="AJ37" i="3" s="1"/>
  <c r="J20" i="9" s="1"/>
  <c r="AI15" i="3"/>
  <c r="AI36" i="3"/>
  <c r="AH38" i="2" s="1"/>
  <c r="AH112" i="2" s="1"/>
  <c r="AH207" i="2" s="1"/>
  <c r="AJ14" i="3"/>
  <c r="AJ35" i="3" s="1"/>
  <c r="J18" i="9" s="1"/>
  <c r="AH14" i="3"/>
  <c r="AH35" i="3" s="1"/>
  <c r="AJ1" i="3"/>
  <c r="X1" i="3"/>
  <c r="AK9" i="3"/>
  <c r="AK30" i="3" s="1"/>
  <c r="AI9" i="3"/>
  <c r="AI30" i="3" s="1"/>
  <c r="I13" i="9" s="1"/>
  <c r="AM4" i="3"/>
  <c r="AM25" i="3" s="1"/>
  <c r="AK4" i="3"/>
  <c r="AK25" i="3" s="1"/>
  <c r="AI4" i="3"/>
  <c r="AI25" i="3" s="1"/>
  <c r="I8" i="9" s="1"/>
  <c r="AG4" i="3"/>
  <c r="AG25" i="3" s="1"/>
  <c r="G8" i="9" s="1"/>
  <c r="AK3" i="3"/>
  <c r="AK24" i="3" s="1"/>
  <c r="AI3" i="3"/>
  <c r="AI24" i="3" s="1"/>
  <c r="I7" i="9" s="1"/>
  <c r="AH17" i="3"/>
  <c r="AH38" i="3" s="1"/>
  <c r="H21" i="9" s="1"/>
  <c r="AM16" i="3"/>
  <c r="AM37" i="3" s="1"/>
  <c r="AK16" i="3"/>
  <c r="AK37" i="3"/>
  <c r="AI16" i="3"/>
  <c r="AI37" i="3" s="1"/>
  <c r="AH39" i="1" s="1"/>
  <c r="AI39" i="1" s="1"/>
  <c r="AG16" i="3"/>
  <c r="AG37" i="3" s="1"/>
  <c r="G20" i="9" s="1"/>
  <c r="AL15" i="3"/>
  <c r="AL36" i="3" s="1"/>
  <c r="AJ15" i="3"/>
  <c r="AJ36" i="3" s="1"/>
  <c r="J19" i="9" s="1"/>
  <c r="AM14" i="3"/>
  <c r="AM35" i="3" s="1"/>
  <c r="AI14" i="3"/>
  <c r="AI35" i="3" s="1"/>
  <c r="AH37" i="1" s="1"/>
  <c r="AH121" i="1" s="1"/>
  <c r="AH167" i="1" s="1"/>
  <c r="AG14" i="3"/>
  <c r="B27" i="3"/>
  <c r="V22" i="3"/>
  <c r="AI13" i="3"/>
  <c r="AI34" i="3" s="1"/>
  <c r="I17" i="9" s="1"/>
  <c r="AG35" i="3"/>
  <c r="AF37" i="2" s="1"/>
  <c r="AF206" i="2" s="1"/>
  <c r="Y1" i="3"/>
  <c r="AL1" i="3" s="1"/>
  <c r="AK1" i="3"/>
  <c r="AG23" i="3"/>
  <c r="AF25" i="2" s="1"/>
  <c r="AF194" i="2" s="1"/>
  <c r="N117" i="6"/>
  <c r="I194" i="6" s="1"/>
  <c r="AH194" i="6" s="1"/>
  <c r="AA117" i="6"/>
  <c r="AA119" i="6"/>
  <c r="N127" i="6"/>
  <c r="I204" i="6" s="1"/>
  <c r="I267" i="6" s="1"/>
  <c r="AN203" i="6"/>
  <c r="K266" i="6"/>
  <c r="AN205" i="6"/>
  <c r="K268" i="6"/>
  <c r="I96" i="5"/>
  <c r="I148" i="5"/>
  <c r="AF86" i="2"/>
  <c r="X153" i="2" s="1"/>
  <c r="AF74" i="2"/>
  <c r="AI23" i="3"/>
  <c r="AA118" i="6"/>
  <c r="AD118" i="6" s="1"/>
  <c r="O12" i="6" s="1"/>
  <c r="P12" i="6" s="1"/>
  <c r="E195" i="6" s="1"/>
  <c r="G10" i="5" s="1"/>
  <c r="N118" i="6"/>
  <c r="I195" i="6" s="1"/>
  <c r="AH195" i="6" s="1"/>
  <c r="N124" i="6"/>
  <c r="I201" i="6" s="1"/>
  <c r="AH201" i="6" s="1"/>
  <c r="AA124" i="6"/>
  <c r="N126" i="6"/>
  <c r="I203" i="6" s="1"/>
  <c r="AA126" i="6"/>
  <c r="N128" i="6"/>
  <c r="I205" i="6" s="1"/>
  <c r="AA128" i="6"/>
  <c r="AK207" i="6"/>
  <c r="J290" i="6"/>
  <c r="AC124" i="6"/>
  <c r="AF62" i="2"/>
  <c r="W153" i="2"/>
  <c r="AF63" i="2"/>
  <c r="W154" i="2" s="1"/>
  <c r="W29" i="1"/>
  <c r="W159" i="1" s="1"/>
  <c r="W158" i="1"/>
  <c r="Z170" i="1"/>
  <c r="O38" i="6"/>
  <c r="P38" i="6" s="1"/>
  <c r="F195" i="6" s="1"/>
  <c r="O90" i="6"/>
  <c r="P90" i="6" s="1"/>
  <c r="H195" i="6" s="1"/>
  <c r="AH25" i="1"/>
  <c r="AH155" i="1" s="1"/>
  <c r="X141" i="2"/>
  <c r="AH128" i="1"/>
  <c r="AH169" i="1" s="1"/>
  <c r="DA36" i="9"/>
  <c r="Z1" i="3"/>
  <c r="AM1" i="3" s="1"/>
  <c r="AI25" i="1"/>
  <c r="DA61" i="9"/>
  <c r="DA82" i="9" s="1"/>
  <c r="AY10" i="17" s="1"/>
  <c r="AU32" i="17" s="1"/>
  <c r="O47" i="6" l="1"/>
  <c r="P47" i="6" s="1"/>
  <c r="F204" i="6" s="1"/>
  <c r="O21" i="6"/>
  <c r="P21" i="6" s="1"/>
  <c r="E204" i="6" s="1"/>
  <c r="O73" i="6"/>
  <c r="O99" i="6"/>
  <c r="AC100" i="1"/>
  <c r="AC101" i="1"/>
  <c r="AC102" i="1" s="1"/>
  <c r="AC160" i="1" s="1"/>
  <c r="AF70" i="1"/>
  <c r="AI35" i="1"/>
  <c r="AD67" i="2"/>
  <c r="V158" i="2" s="1"/>
  <c r="V94" i="2"/>
  <c r="AD91" i="2" s="1"/>
  <c r="AA55" i="2"/>
  <c r="AA206" i="2"/>
  <c r="AA123" i="2"/>
  <c r="J47" i="5"/>
  <c r="I50" i="5"/>
  <c r="CD58" i="9" s="1"/>
  <c r="M181" i="6"/>
  <c r="I184" i="6"/>
  <c r="N181" i="6" s="1"/>
  <c r="K206" i="6" s="1"/>
  <c r="M144" i="6"/>
  <c r="I147" i="6"/>
  <c r="N144" i="6" s="1"/>
  <c r="J195" i="6" s="1"/>
  <c r="AK195" i="6" s="1"/>
  <c r="M140" i="6"/>
  <c r="I140" i="6"/>
  <c r="H161" i="6"/>
  <c r="X114" i="6"/>
  <c r="H107" i="6"/>
  <c r="Z206" i="2"/>
  <c r="Z123" i="2"/>
  <c r="I45" i="9"/>
  <c r="Z144" i="1"/>
  <c r="Z158" i="1"/>
  <c r="AF52" i="2"/>
  <c r="W143" i="2" s="1"/>
  <c r="O175" i="4"/>
  <c r="I178" i="4"/>
  <c r="P175" i="4" s="1"/>
  <c r="K253" i="4" s="1"/>
  <c r="M173" i="6"/>
  <c r="I176" i="6"/>
  <c r="N173" i="6" s="1"/>
  <c r="K198" i="6" s="1"/>
  <c r="AN198" i="6" s="1"/>
  <c r="M35" i="6"/>
  <c r="H55" i="6"/>
  <c r="AV22" i="3"/>
  <c r="F76" i="5"/>
  <c r="CA64" i="9"/>
  <c r="CA85" i="9" s="1"/>
  <c r="D217" i="6"/>
  <c r="I148" i="6"/>
  <c r="N145" i="6" s="1"/>
  <c r="J196" i="6" s="1"/>
  <c r="AK196" i="6" s="1"/>
  <c r="M145" i="6"/>
  <c r="AN141" i="6"/>
  <c r="N20" i="6"/>
  <c r="R23" i="6" s="1"/>
  <c r="N46" i="6"/>
  <c r="R49" i="6" s="1"/>
  <c r="R55" i="6" s="1"/>
  <c r="AB126" i="6"/>
  <c r="AF141" i="6"/>
  <c r="AC126" i="6"/>
  <c r="AF142" i="6"/>
  <c r="AB117" i="6"/>
  <c r="AC117" i="6"/>
  <c r="M98" i="6"/>
  <c r="M99" i="6"/>
  <c r="AE144" i="1"/>
  <c r="CA41" i="9"/>
  <c r="F76" i="9"/>
  <c r="AC115" i="6"/>
  <c r="AB115" i="6"/>
  <c r="J267" i="6"/>
  <c r="X158" i="1"/>
  <c r="X171" i="1"/>
  <c r="Z76" i="2"/>
  <c r="Y95" i="2"/>
  <c r="W196" i="2"/>
  <c r="W28" i="2"/>
  <c r="M52" i="6"/>
  <c r="Y130" i="2"/>
  <c r="Y208" i="2" s="1"/>
  <c r="F77" i="5"/>
  <c r="CA65" i="9"/>
  <c r="CA86" i="9" s="1"/>
  <c r="O19" i="4"/>
  <c r="I22" i="4"/>
  <c r="AF151" i="6"/>
  <c r="AF150" i="6"/>
  <c r="AC128" i="6"/>
  <c r="AB128" i="6"/>
  <c r="AD128" i="6" s="1"/>
  <c r="M125" i="6"/>
  <c r="V128" i="6"/>
  <c r="I122" i="6"/>
  <c r="X122" i="6" s="1"/>
  <c r="H135" i="6"/>
  <c r="AJ9" i="3"/>
  <c r="AJ30" i="3" s="1"/>
  <c r="J13" i="9" s="1"/>
  <c r="AH34" i="1"/>
  <c r="AI34" i="1" s="1"/>
  <c r="AH34" i="2"/>
  <c r="AH203" i="2" s="1"/>
  <c r="AF25" i="1"/>
  <c r="AF155" i="1" s="1"/>
  <c r="N19" i="6"/>
  <c r="R22" i="6" s="1"/>
  <c r="N23" i="6"/>
  <c r="R26" i="6" s="1"/>
  <c r="AB123" i="6"/>
  <c r="AC123" i="6"/>
  <c r="AE84" i="2"/>
  <c r="AA87" i="2"/>
  <c r="AF84" i="2" s="1"/>
  <c r="X151" i="2" s="1"/>
  <c r="AD117" i="6"/>
  <c r="O89" i="6" s="1"/>
  <c r="P89" i="6" s="1"/>
  <c r="H194" i="6" s="1"/>
  <c r="AD126" i="6"/>
  <c r="O46" i="6" s="1"/>
  <c r="AF144" i="1"/>
  <c r="AC113" i="2"/>
  <c r="AC211" i="2" s="1"/>
  <c r="AD206" i="2"/>
  <c r="AD123" i="2"/>
  <c r="CA68" i="9"/>
  <c r="CA89" i="9" s="1"/>
  <c r="F98" i="5"/>
  <c r="N51" i="4"/>
  <c r="D159" i="4"/>
  <c r="N156" i="4" s="1"/>
  <c r="N45" i="4"/>
  <c r="D153" i="4"/>
  <c r="N150" i="4" s="1"/>
  <c r="N39" i="4"/>
  <c r="D147" i="4"/>
  <c r="N144" i="4" s="1"/>
  <c r="D268" i="6"/>
  <c r="W205" i="6"/>
  <c r="AN144" i="6"/>
  <c r="AL144" i="6"/>
  <c r="AB129" i="6"/>
  <c r="AD129" i="6" s="1"/>
  <c r="AB125" i="6"/>
  <c r="AF149" i="6"/>
  <c r="D181" i="6"/>
  <c r="L178" i="6" s="1"/>
  <c r="D203" i="6" s="1"/>
  <c r="L72" i="6"/>
  <c r="B44" i="3"/>
  <c r="B42" i="3" s="1"/>
  <c r="AK15" i="3"/>
  <c r="AK36" i="3" s="1"/>
  <c r="M177" i="6"/>
  <c r="I180" i="6"/>
  <c r="N177" i="6" s="1"/>
  <c r="K202" i="6" s="1"/>
  <c r="AN202" i="6" s="1"/>
  <c r="AX148" i="6"/>
  <c r="M71" i="6"/>
  <c r="H81" i="6"/>
  <c r="AF88" i="2"/>
  <c r="X155" i="2" s="1"/>
  <c r="AF87" i="2"/>
  <c r="X154" i="2" s="1"/>
  <c r="AF37" i="1"/>
  <c r="AF121" i="1" s="1"/>
  <c r="H30" i="9"/>
  <c r="J266" i="6"/>
  <c r="AK203" i="6"/>
  <c r="AC122" i="6"/>
  <c r="Z20" i="1"/>
  <c r="Z21" i="1" s="1"/>
  <c r="O122" i="4"/>
  <c r="X125" i="4"/>
  <c r="P122" i="4" s="1"/>
  <c r="I252" i="4" s="1"/>
  <c r="O119" i="4"/>
  <c r="X122" i="4"/>
  <c r="P119" i="4" s="1"/>
  <c r="I249" i="4" s="1"/>
  <c r="M129" i="6"/>
  <c r="AF41" i="1"/>
  <c r="AF171" i="1" s="1"/>
  <c r="AF41" i="2"/>
  <c r="AF210" i="2" s="1"/>
  <c r="AM18" i="3"/>
  <c r="AM39" i="3" s="1"/>
  <c r="I30" i="9"/>
  <c r="AD101" i="1"/>
  <c r="AD102" i="1" s="1"/>
  <c r="AD160" i="1" s="1"/>
  <c r="AD63" i="2"/>
  <c r="V154" i="2" s="1"/>
  <c r="AG35" i="2"/>
  <c r="AG204" i="2" s="1"/>
  <c r="W201" i="6"/>
  <c r="D243" i="6"/>
  <c r="V114" i="6"/>
  <c r="U135" i="6"/>
  <c r="AD130" i="6"/>
  <c r="N140" i="6"/>
  <c r="J191" i="6" s="1"/>
  <c r="AK191" i="6" s="1"/>
  <c r="AF91" i="2"/>
  <c r="X158" i="2" s="1"/>
  <c r="Z121" i="1"/>
  <c r="Z128" i="1"/>
  <c r="Z169" i="1" s="1"/>
  <c r="F98" i="9"/>
  <c r="V82" i="2"/>
  <c r="AD79" i="2" s="1"/>
  <c r="D156" i="4"/>
  <c r="N153" i="4" s="1"/>
  <c r="I170" i="6"/>
  <c r="N168" i="6" s="1"/>
  <c r="K193" i="6" s="1"/>
  <c r="AN193" i="6" s="1"/>
  <c r="D160" i="6"/>
  <c r="L157" i="6" s="1"/>
  <c r="I151" i="6"/>
  <c r="N148" i="6" s="1"/>
  <c r="J199" i="6" s="1"/>
  <c r="AK199" i="6" s="1"/>
  <c r="V126" i="6"/>
  <c r="V123" i="6"/>
  <c r="AI6" i="3"/>
  <c r="AI27" i="3" s="1"/>
  <c r="I10" i="9" s="1"/>
  <c r="AL12" i="3"/>
  <c r="AL33" i="3" s="1"/>
  <c r="AW5" i="3"/>
  <c r="W156" i="1"/>
  <c r="AB111" i="1"/>
  <c r="AB172" i="1" s="1"/>
  <c r="Y128" i="1"/>
  <c r="Y169" i="1" s="1"/>
  <c r="N38" i="4"/>
  <c r="D156" i="6"/>
  <c r="L153" i="6" s="1"/>
  <c r="AN145" i="6"/>
  <c r="AD121" i="1"/>
  <c r="X130" i="1"/>
  <c r="X170" i="1" s="1"/>
  <c r="AD62" i="2"/>
  <c r="V153" i="2" s="1"/>
  <c r="AD58" i="2"/>
  <c r="V149" i="2" s="1"/>
  <c r="AA132" i="2"/>
  <c r="AA209" i="2" s="1"/>
  <c r="I118" i="4"/>
  <c r="Z118" i="4" s="1"/>
  <c r="M86" i="6"/>
  <c r="AJ17" i="3"/>
  <c r="AJ38" i="3" s="1"/>
  <c r="J21" i="9" s="1"/>
  <c r="H43" i="9" s="1"/>
  <c r="DA80" i="9"/>
  <c r="AY8" i="17" s="1"/>
  <c r="AE91" i="2"/>
  <c r="AB113" i="2"/>
  <c r="AB211" i="2" s="1"/>
  <c r="AP149" i="4"/>
  <c r="AW3" i="3"/>
  <c r="AD121" i="6"/>
  <c r="AE130" i="1"/>
  <c r="AE170" i="1" s="1"/>
  <c r="AD116" i="1"/>
  <c r="AD158" i="1"/>
  <c r="AD20" i="1"/>
  <c r="AD21" i="1" s="1"/>
  <c r="X132" i="2"/>
  <c r="X209" i="2" s="1"/>
  <c r="AF132" i="2"/>
  <c r="AF209" i="2" s="1"/>
  <c r="H74" i="5"/>
  <c r="D155" i="6"/>
  <c r="L152" i="6" s="1"/>
  <c r="AN147" i="6"/>
  <c r="N103" i="6" s="1"/>
  <c r="R106" i="6" s="1"/>
  <c r="AL146" i="6"/>
  <c r="M61" i="6"/>
  <c r="L48" i="6"/>
  <c r="M34" i="6"/>
  <c r="AM6" i="3"/>
  <c r="AM27" i="3" s="1"/>
  <c r="AL11" i="3"/>
  <c r="AL32" i="3" s="1"/>
  <c r="AC110" i="1"/>
  <c r="AC168" i="1" s="1"/>
  <c r="Z110" i="2"/>
  <c r="Z111" i="2" s="1"/>
  <c r="Z113" i="2"/>
  <c r="Z211" i="2" s="1"/>
  <c r="B71" i="3"/>
  <c r="AH2" i="3"/>
  <c r="AH23" i="3" s="1"/>
  <c r="AK13" i="3"/>
  <c r="AK34" i="3" s="1"/>
  <c r="AG12" i="3"/>
  <c r="AG33" i="3" s="1"/>
  <c r="AF35" i="1" s="1"/>
  <c r="AF165" i="1" s="1"/>
  <c r="Y194" i="14"/>
  <c r="H13" i="17" s="1"/>
  <c r="Y205" i="14"/>
  <c r="H24" i="17" s="1"/>
  <c r="AE102" i="1"/>
  <c r="AE160" i="1" s="1"/>
  <c r="Y110" i="2"/>
  <c r="Y111" i="2" s="1"/>
  <c r="Y112" i="2" s="1"/>
  <c r="Y207" i="2" s="1"/>
  <c r="Y113" i="2"/>
  <c r="Y211" i="2" s="1"/>
  <c r="AI8" i="3"/>
  <c r="AI29" i="3" s="1"/>
  <c r="I12" i="9" s="1"/>
  <c r="AJ13" i="3"/>
  <c r="AJ34" i="3" s="1"/>
  <c r="J17" i="9" s="1"/>
  <c r="AE171" i="1"/>
  <c r="AD171" i="1"/>
  <c r="AE116" i="1"/>
  <c r="AC118" i="2"/>
  <c r="AC205" i="2" s="1"/>
  <c r="AF103" i="2"/>
  <c r="AF104" i="2" s="1"/>
  <c r="AF199" i="2" s="1"/>
  <c r="AE53" i="2"/>
  <c r="Y118" i="2"/>
  <c r="Y205" i="2" s="1"/>
  <c r="Y132" i="2"/>
  <c r="Y209" i="2" s="1"/>
  <c r="D182" i="4"/>
  <c r="N179" i="4" s="1"/>
  <c r="D257" i="4" s="1"/>
  <c r="I157" i="6"/>
  <c r="N154" i="6" s="1"/>
  <c r="J205" i="6" s="1"/>
  <c r="AC127" i="6"/>
  <c r="AE127" i="6" s="1"/>
  <c r="M116" i="6"/>
  <c r="M103" i="6"/>
  <c r="L43" i="6"/>
  <c r="M36" i="6"/>
  <c r="AL13" i="3"/>
  <c r="AL34" i="3" s="1"/>
  <c r="AM5" i="3"/>
  <c r="AM26" i="3" s="1"/>
  <c r="M78" i="6"/>
  <c r="Y116" i="1"/>
  <c r="W157" i="1"/>
  <c r="F149" i="9"/>
  <c r="F75" i="9"/>
  <c r="X118" i="2"/>
  <c r="X205" i="2" s="1"/>
  <c r="M182" i="6"/>
  <c r="I146" i="6"/>
  <c r="N143" i="6" s="1"/>
  <c r="J194" i="6" s="1"/>
  <c r="AK194" i="6" s="1"/>
  <c r="AL140" i="6"/>
  <c r="V125" i="6"/>
  <c r="AH13" i="3"/>
  <c r="AH34" i="3" s="1"/>
  <c r="H17" i="9" s="1"/>
  <c r="AC130" i="1"/>
  <c r="AC170" i="1" s="1"/>
  <c r="AC121" i="1"/>
  <c r="AC116" i="1"/>
  <c r="AD113" i="2"/>
  <c r="AD211" i="2" s="1"/>
  <c r="AN140" i="4"/>
  <c r="AB116" i="6"/>
  <c r="AD116" i="6" s="1"/>
  <c r="AL2" i="3"/>
  <c r="AL23" i="3" s="1"/>
  <c r="AG13" i="3"/>
  <c r="AG34" i="3" s="1"/>
  <c r="AK12" i="3"/>
  <c r="AK33" i="3" s="1"/>
  <c r="Y203" i="14"/>
  <c r="H22" i="17" s="1"/>
  <c r="I35" i="9"/>
  <c r="I29" i="9"/>
  <c r="H36" i="9"/>
  <c r="I33" i="9"/>
  <c r="I101" i="4"/>
  <c r="I179" i="4"/>
  <c r="P176" i="4" s="1"/>
  <c r="K254" i="4" s="1"/>
  <c r="O63" i="4"/>
  <c r="I72" i="4"/>
  <c r="P69" i="4" s="1"/>
  <c r="D99" i="4"/>
  <c r="O129" i="4"/>
  <c r="D93" i="4"/>
  <c r="D199" i="4" s="1"/>
  <c r="N196" i="4" s="1"/>
  <c r="AD126" i="4"/>
  <c r="D154" i="4"/>
  <c r="N151" i="4" s="1"/>
  <c r="D96" i="4"/>
  <c r="P51" i="4"/>
  <c r="D173" i="4"/>
  <c r="N170" i="4" s="1"/>
  <c r="D248" i="4" s="1"/>
  <c r="D269" i="4" s="1"/>
  <c r="D160" i="4"/>
  <c r="N157" i="4" s="1"/>
  <c r="O73" i="4"/>
  <c r="X126" i="4"/>
  <c r="O25" i="4"/>
  <c r="X62" i="9"/>
  <c r="CS47" i="9" s="1"/>
  <c r="X62" i="5"/>
  <c r="CS70" i="9" s="1"/>
  <c r="CS91" i="9" s="1"/>
  <c r="AQ19" i="17" s="1"/>
  <c r="AM41" i="17" s="1"/>
  <c r="AM79" i="17" s="1"/>
  <c r="D102" i="4"/>
  <c r="D208" i="4" s="1"/>
  <c r="N205" i="4" s="1"/>
  <c r="O115" i="4"/>
  <c r="J297" i="4"/>
  <c r="D178" i="4"/>
  <c r="N175" i="4" s="1"/>
  <c r="D253" i="4" s="1"/>
  <c r="AE129" i="4"/>
  <c r="D185" i="4"/>
  <c r="N182" i="4" s="1"/>
  <c r="D260" i="4" s="1"/>
  <c r="D343" i="4" s="1"/>
  <c r="AP150" i="4"/>
  <c r="D101" i="4"/>
  <c r="D207" i="4" s="1"/>
  <c r="N204" i="4" s="1"/>
  <c r="O151" i="4"/>
  <c r="I182" i="4"/>
  <c r="P179" i="4" s="1"/>
  <c r="K257" i="4" s="1"/>
  <c r="P60" i="4"/>
  <c r="I97" i="4"/>
  <c r="P94" i="4" s="1"/>
  <c r="D184" i="4"/>
  <c r="N181" i="4" s="1"/>
  <c r="D259" i="4" s="1"/>
  <c r="D322" i="4" s="1"/>
  <c r="D148" i="4"/>
  <c r="N145" i="4" s="1"/>
  <c r="G55" i="4"/>
  <c r="X116" i="4"/>
  <c r="P115" i="4" s="1"/>
  <c r="I245" i="4" s="1"/>
  <c r="AZ148" i="4"/>
  <c r="O20" i="4"/>
  <c r="J88" i="4"/>
  <c r="I77" i="4"/>
  <c r="P140" i="4"/>
  <c r="J244" i="4" s="1"/>
  <c r="X51" i="5" s="1"/>
  <c r="CS59" i="9" s="1"/>
  <c r="O147" i="4"/>
  <c r="AE114" i="4"/>
  <c r="P10" i="4"/>
  <c r="I71" i="4"/>
  <c r="P68" i="4" s="1"/>
  <c r="AN141" i="4"/>
  <c r="AP141" i="4"/>
  <c r="I174" i="4"/>
  <c r="P171" i="4" s="1"/>
  <c r="K249" i="4" s="1"/>
  <c r="AP249" i="4" s="1"/>
  <c r="AD129" i="4"/>
  <c r="AF129" i="4" s="1"/>
  <c r="D186" i="4"/>
  <c r="N183" i="4" s="1"/>
  <c r="D261" i="4" s="1"/>
  <c r="D344" i="4" s="1"/>
  <c r="AN151" i="4"/>
  <c r="J90" i="4"/>
  <c r="X123" i="4"/>
  <c r="O8" i="4"/>
  <c r="O153" i="4"/>
  <c r="O140" i="4"/>
  <c r="AC119" i="4"/>
  <c r="I99" i="4"/>
  <c r="P96" i="4" s="1"/>
  <c r="O88" i="4"/>
  <c r="I100" i="4"/>
  <c r="AD125" i="4"/>
  <c r="P114" i="4"/>
  <c r="I244" i="4" s="1"/>
  <c r="T51" i="9" s="1"/>
  <c r="CO36" i="9" s="1"/>
  <c r="I19" i="4"/>
  <c r="P16" i="4" s="1"/>
  <c r="O62" i="4"/>
  <c r="I74" i="4"/>
  <c r="AE127" i="4"/>
  <c r="AP143" i="4"/>
  <c r="I181" i="4"/>
  <c r="P178" i="4" s="1"/>
  <c r="K256" i="4" s="1"/>
  <c r="D158" i="4"/>
  <c r="N155" i="4" s="1"/>
  <c r="J64" i="4"/>
  <c r="AD123" i="4"/>
  <c r="AN144" i="4"/>
  <c r="X134" i="4"/>
  <c r="J62" i="4"/>
  <c r="D181" i="4"/>
  <c r="N178" i="4" s="1"/>
  <c r="D256" i="4" s="1"/>
  <c r="Y256" i="4" s="1"/>
  <c r="X120" i="4"/>
  <c r="I186" i="4"/>
  <c r="P183" i="4" s="1"/>
  <c r="K261" i="4" s="1"/>
  <c r="AB68" i="5" s="1"/>
  <c r="D175" i="4"/>
  <c r="N172" i="4" s="1"/>
  <c r="D250" i="4" s="1"/>
  <c r="Y250" i="4" s="1"/>
  <c r="AG156" i="4"/>
  <c r="AE119" i="4"/>
  <c r="AD119" i="4"/>
  <c r="I67" i="4"/>
  <c r="P64" i="4" s="1"/>
  <c r="I51" i="4"/>
  <c r="P48" i="4" s="1"/>
  <c r="I21" i="4"/>
  <c r="P18" i="4" s="1"/>
  <c r="AC114" i="4"/>
  <c r="I175" i="4"/>
  <c r="P172" i="4" s="1"/>
  <c r="K250" i="4" s="1"/>
  <c r="K271" i="4" s="1"/>
  <c r="AC121" i="4"/>
  <c r="AF121" i="4" s="1"/>
  <c r="I105" i="4"/>
  <c r="P102" i="4" s="1"/>
  <c r="AD131" i="4"/>
  <c r="P19" i="4"/>
  <c r="AN150" i="4"/>
  <c r="I96" i="4"/>
  <c r="P93" i="4" s="1"/>
  <c r="AJ257" i="4"/>
  <c r="I320" i="4"/>
  <c r="T64" i="5"/>
  <c r="T64" i="9"/>
  <c r="X131" i="4"/>
  <c r="O170" i="4"/>
  <c r="T67" i="9"/>
  <c r="CO52" i="9" s="1"/>
  <c r="AC127" i="4"/>
  <c r="I135" i="4"/>
  <c r="I343" i="4"/>
  <c r="I148" i="4"/>
  <c r="P145" i="4" s="1"/>
  <c r="J249" i="4" s="1"/>
  <c r="AM249" i="4" s="1"/>
  <c r="AD114" i="4"/>
  <c r="I73" i="4"/>
  <c r="P70" i="4" s="1"/>
  <c r="AA118" i="4"/>
  <c r="O99" i="4"/>
  <c r="I184" i="4"/>
  <c r="P181" i="4" s="1"/>
  <c r="K259" i="4" s="1"/>
  <c r="K322" i="4" s="1"/>
  <c r="AP140" i="4"/>
  <c r="O47" i="4"/>
  <c r="AC122" i="4"/>
  <c r="AF122" i="4" s="1"/>
  <c r="X121" i="4"/>
  <c r="AC130" i="4"/>
  <c r="AF130" i="4" s="1"/>
  <c r="Q102" i="4" s="1"/>
  <c r="I185" i="4"/>
  <c r="P182" i="4" s="1"/>
  <c r="K260" i="4" s="1"/>
  <c r="AP260" i="4" s="1"/>
  <c r="AP144" i="4"/>
  <c r="I146" i="4"/>
  <c r="P143" i="4" s="1"/>
  <c r="J247" i="4" s="1"/>
  <c r="D98" i="4"/>
  <c r="I78" i="4"/>
  <c r="D152" i="4"/>
  <c r="N149" i="4" s="1"/>
  <c r="I16" i="4"/>
  <c r="P13" i="4" s="1"/>
  <c r="D179" i="4"/>
  <c r="N176" i="4" s="1"/>
  <c r="D254" i="4" s="1"/>
  <c r="Y254" i="4" s="1"/>
  <c r="I149" i="4"/>
  <c r="P146" i="4" s="1"/>
  <c r="J250" i="4" s="1"/>
  <c r="X57" i="5" s="1"/>
  <c r="O130" i="4"/>
  <c r="D103" i="4"/>
  <c r="D209" i="4" s="1"/>
  <c r="N206" i="4" s="1"/>
  <c r="E267" i="6"/>
  <c r="G19" i="5"/>
  <c r="H10" i="5"/>
  <c r="Y195" i="6"/>
  <c r="F216" i="6"/>
  <c r="AJ252" i="4"/>
  <c r="T59" i="9"/>
  <c r="I294" i="4"/>
  <c r="T59" i="5"/>
  <c r="E216" i="6"/>
  <c r="O24" i="6"/>
  <c r="P24" i="6" s="1"/>
  <c r="E207" i="6" s="1"/>
  <c r="O50" i="6"/>
  <c r="P50" i="6" s="1"/>
  <c r="F207" i="6" s="1"/>
  <c r="AE130" i="6"/>
  <c r="O102" i="6"/>
  <c r="P102" i="6" s="1"/>
  <c r="H207" i="6" s="1"/>
  <c r="O76" i="6"/>
  <c r="P76" i="6" s="1"/>
  <c r="G207" i="6" s="1"/>
  <c r="X30" i="1"/>
  <c r="AH205" i="6"/>
  <c r="I268" i="6"/>
  <c r="AH203" i="6"/>
  <c r="I266" i="6"/>
  <c r="X150" i="2"/>
  <c r="AQ136" i="1"/>
  <c r="AI37" i="1"/>
  <c r="AB135" i="1"/>
  <c r="AJ251" i="4"/>
  <c r="I272" i="4"/>
  <c r="T58" i="5"/>
  <c r="T58" i="9"/>
  <c r="Y110" i="1"/>
  <c r="Y168" i="1" s="1"/>
  <c r="AH208" i="6"/>
  <c r="I291" i="6"/>
  <c r="K269" i="6"/>
  <c r="AN206" i="6"/>
  <c r="F267" i="6"/>
  <c r="H19" i="5"/>
  <c r="Y204" i="6"/>
  <c r="AE195" i="6"/>
  <c r="H216" i="6"/>
  <c r="J10" i="5"/>
  <c r="AN208" i="6"/>
  <c r="K291" i="6"/>
  <c r="AO29" i="10"/>
  <c r="I9" i="9"/>
  <c r="AH28" i="2"/>
  <c r="AH197" i="2" s="1"/>
  <c r="AH28" i="1"/>
  <c r="W30" i="1"/>
  <c r="O98" i="6"/>
  <c r="AM38" i="10"/>
  <c r="AM124" i="10" s="1"/>
  <c r="G18" i="9"/>
  <c r="X111" i="1"/>
  <c r="X172" i="1" s="1"/>
  <c r="AF130" i="1"/>
  <c r="AF170" i="1" s="1"/>
  <c r="AE110" i="1"/>
  <c r="AE168" i="1" s="1"/>
  <c r="AD27" i="1"/>
  <c r="AD157" i="1" s="1"/>
  <c r="CA63" i="9"/>
  <c r="CA84" i="9" s="1"/>
  <c r="F75" i="5"/>
  <c r="O72" i="6"/>
  <c r="AA131" i="6"/>
  <c r="AD131" i="6" s="1"/>
  <c r="AM26" i="10"/>
  <c r="G6" i="9"/>
  <c r="AO40" i="10"/>
  <c r="I20" i="9"/>
  <c r="I42" i="9" s="1"/>
  <c r="AH39" i="2"/>
  <c r="AH130" i="2" s="1"/>
  <c r="AH208" i="2" s="1"/>
  <c r="Y158" i="1"/>
  <c r="Y171" i="1"/>
  <c r="Y144" i="1"/>
  <c r="AE61" i="2"/>
  <c r="AA64" i="2"/>
  <c r="AF61" i="2" s="1"/>
  <c r="W152" i="2" s="1"/>
  <c r="O64" i="6"/>
  <c r="P64" i="6" s="1"/>
  <c r="G195" i="6" s="1"/>
  <c r="N26" i="6"/>
  <c r="AH38" i="1"/>
  <c r="N141" i="6"/>
  <c r="AJ169" i="1"/>
  <c r="AK169" i="1" s="1"/>
  <c r="AJ22" i="1"/>
  <c r="AJ21" i="1"/>
  <c r="AH20" i="1"/>
  <c r="AH21" i="1" s="1"/>
  <c r="H42" i="9"/>
  <c r="AL14" i="3"/>
  <c r="AL35" i="3" s="1"/>
  <c r="AB124" i="6"/>
  <c r="AD124" i="6" s="1"/>
  <c r="AF148" i="6"/>
  <c r="AA100" i="1"/>
  <c r="AA101" i="1"/>
  <c r="AA102" i="1" s="1"/>
  <c r="AA160" i="1" s="1"/>
  <c r="AC171" i="1"/>
  <c r="Y130" i="1"/>
  <c r="Y170" i="1" s="1"/>
  <c r="D1" i="1"/>
  <c r="X1" i="1"/>
  <c r="X104" i="1" s="1"/>
  <c r="AH144" i="1"/>
  <c r="O20" i="6"/>
  <c r="P20" i="6" s="1"/>
  <c r="E203" i="6" s="1"/>
  <c r="X101" i="1"/>
  <c r="X102" i="1" s="1"/>
  <c r="X160" i="1" s="1"/>
  <c r="X100" i="1"/>
  <c r="X110" i="1"/>
  <c r="X168" i="1" s="1"/>
  <c r="BL3" i="11"/>
  <c r="BL26" i="11" s="1"/>
  <c r="AF20" i="1"/>
  <c r="AF21" i="1" s="1"/>
  <c r="AP245" i="4"/>
  <c r="AB52" i="5"/>
  <c r="CW60" i="9" s="1"/>
  <c r="CW81" i="9" s="1"/>
  <c r="AU9" i="17" s="1"/>
  <c r="AQ31" i="17" s="1"/>
  <c r="AB52" i="9"/>
  <c r="CW37" i="9" s="1"/>
  <c r="AH204" i="6"/>
  <c r="AE118" i="6"/>
  <c r="Z135" i="4"/>
  <c r="AN204" i="6"/>
  <c r="AW25" i="3"/>
  <c r="Y108" i="1"/>
  <c r="Y109" i="1" s="1"/>
  <c r="Y111" i="1" s="1"/>
  <c r="Y172" i="1" s="1"/>
  <c r="AF101" i="1"/>
  <c r="AF102" i="1" s="1"/>
  <c r="AF160" i="1" s="1"/>
  <c r="AF100" i="1"/>
  <c r="AF91" i="1"/>
  <c r="AD111" i="1"/>
  <c r="AD172" i="1" s="1"/>
  <c r="AC20" i="1"/>
  <c r="AC21" i="1" s="1"/>
  <c r="Z118" i="2"/>
  <c r="Z205" i="2" s="1"/>
  <c r="Z132" i="2"/>
  <c r="Z209" i="2" s="1"/>
  <c r="AE126" i="6"/>
  <c r="H29" i="9"/>
  <c r="AC144" i="1"/>
  <c r="AC158" i="1"/>
  <c r="AB28" i="1"/>
  <c r="AB20" i="1"/>
  <c r="AB21" i="1" s="1"/>
  <c r="AO39" i="10"/>
  <c r="AP39" i="10" s="1"/>
  <c r="I19" i="9"/>
  <c r="AO38" i="10"/>
  <c r="AX139" i="10" s="1"/>
  <c r="I18" i="9"/>
  <c r="AA20" i="1"/>
  <c r="AA21" i="1" s="1"/>
  <c r="AA41" i="1"/>
  <c r="AA171" i="1" s="1"/>
  <c r="AF123" i="2"/>
  <c r="AN38" i="10"/>
  <c r="AN124" i="10" s="1"/>
  <c r="H18" i="9"/>
  <c r="AF69" i="1"/>
  <c r="Z111" i="1"/>
  <c r="Z172" i="1" s="1"/>
  <c r="AG130" i="1"/>
  <c r="AG170" i="1" s="1"/>
  <c r="AN26" i="10"/>
  <c r="H6" i="9"/>
  <c r="CA49" i="9"/>
  <c r="F119" i="9"/>
  <c r="AH102" i="2"/>
  <c r="AH103" i="2"/>
  <c r="AH104" i="2" s="1"/>
  <c r="AH199" i="2" s="1"/>
  <c r="AD112" i="2"/>
  <c r="AD207" i="2" s="1"/>
  <c r="CA76" i="9"/>
  <c r="CA97" i="9" s="1"/>
  <c r="F150" i="5"/>
  <c r="F100" i="5"/>
  <c r="CA70" i="9"/>
  <c r="CA91" i="9" s="1"/>
  <c r="D218" i="6"/>
  <c r="W197" i="6"/>
  <c r="X20" i="1"/>
  <c r="X21" i="1" s="1"/>
  <c r="AB206" i="2"/>
  <c r="AB123" i="2"/>
  <c r="O45" i="4"/>
  <c r="I48" i="4"/>
  <c r="AO26" i="10"/>
  <c r="I6" i="9"/>
  <c r="I28" i="9" s="1"/>
  <c r="I49" i="9" s="1"/>
  <c r="AB100" i="1"/>
  <c r="AH164" i="1"/>
  <c r="AG100" i="1"/>
  <c r="Y20" i="1"/>
  <c r="Y21" i="1" s="1"/>
  <c r="AA112" i="2"/>
  <c r="AA207" i="2" s="1"/>
  <c r="Z112" i="2"/>
  <c r="Z207" i="2" s="1"/>
  <c r="AE104" i="2"/>
  <c r="AE199" i="2" s="1"/>
  <c r="AE30" i="2"/>
  <c r="AE102" i="2"/>
  <c r="AF25" i="3"/>
  <c r="AF5" i="3"/>
  <c r="AA50" i="2"/>
  <c r="AE50" i="2"/>
  <c r="Z71" i="2"/>
  <c r="CA74" i="9"/>
  <c r="CA95" i="9" s="1"/>
  <c r="F121" i="5"/>
  <c r="I166" i="4"/>
  <c r="O166" i="4"/>
  <c r="H187" i="4"/>
  <c r="AN42" i="10"/>
  <c r="AN174" i="10" s="1"/>
  <c r="AN204" i="10" s="1"/>
  <c r="W24" i="16" s="1"/>
  <c r="H22" i="9"/>
  <c r="AG41" i="2"/>
  <c r="AG210" i="2" s="1"/>
  <c r="AE100" i="1"/>
  <c r="G117" i="9"/>
  <c r="G96" i="9"/>
  <c r="G148" i="9"/>
  <c r="CA48" i="9"/>
  <c r="F118" i="9"/>
  <c r="V88" i="2"/>
  <c r="AD85" i="2" s="1"/>
  <c r="AE76" i="2"/>
  <c r="AB78" i="2"/>
  <c r="AE113" i="2"/>
  <c r="AE211" i="2" s="1"/>
  <c r="X130" i="2"/>
  <c r="X208" i="2" s="1"/>
  <c r="Y206" i="2"/>
  <c r="Y123" i="2"/>
  <c r="T67" i="5"/>
  <c r="O114" i="4"/>
  <c r="W135" i="4"/>
  <c r="W203" i="6"/>
  <c r="D266" i="6"/>
  <c r="W5" i="1"/>
  <c r="AB103" i="2"/>
  <c r="AB104" i="2" s="1"/>
  <c r="AB199" i="2" s="1"/>
  <c r="AB102" i="2"/>
  <c r="D1" i="2"/>
  <c r="X1" i="2"/>
  <c r="X106" i="2" s="1"/>
  <c r="H34" i="9"/>
  <c r="AH171" i="1"/>
  <c r="X144" i="1"/>
  <c r="AG20" i="1"/>
  <c r="AG21" i="1" s="1"/>
  <c r="X113" i="2"/>
  <c r="X211" i="2" s="1"/>
  <c r="F120" i="5"/>
  <c r="CA73" i="9"/>
  <c r="CA94" i="9" s="1"/>
  <c r="AM36" i="10"/>
  <c r="AM168" i="10" s="1"/>
  <c r="AM198" i="10" s="1"/>
  <c r="V18" i="16" s="1"/>
  <c r="G16" i="9"/>
  <c r="AF35" i="2"/>
  <c r="AF204" i="2" s="1"/>
  <c r="CA50" i="9"/>
  <c r="F120" i="9"/>
  <c r="AD103" i="2"/>
  <c r="AD104" i="2" s="1"/>
  <c r="AD199" i="2" s="1"/>
  <c r="AD102" i="2"/>
  <c r="X103" i="2"/>
  <c r="X104" i="2" s="1"/>
  <c r="X199" i="2" s="1"/>
  <c r="X102" i="2"/>
  <c r="AE59" i="2"/>
  <c r="AA62" i="2"/>
  <c r="AF59" i="2" s="1"/>
  <c r="W150" i="2" s="1"/>
  <c r="AA130" i="2"/>
  <c r="AA208" i="2" s="1"/>
  <c r="AE20" i="1"/>
  <c r="AE21" i="1" s="1"/>
  <c r="AA103" i="2"/>
  <c r="AA104" i="2" s="1"/>
  <c r="AA199" i="2" s="1"/>
  <c r="AA102" i="2"/>
  <c r="Z130" i="2"/>
  <c r="Z208" i="2" s="1"/>
  <c r="AE132" i="2"/>
  <c r="AE209" i="2" s="1"/>
  <c r="AE111" i="1"/>
  <c r="AE172" i="1" s="1"/>
  <c r="CA42" i="9"/>
  <c r="F77" i="9"/>
  <c r="CA46" i="9"/>
  <c r="F99" i="9"/>
  <c r="AD132" i="2"/>
  <c r="AD209" i="2" s="1"/>
  <c r="F78" i="5"/>
  <c r="CA66" i="9"/>
  <c r="CA87" i="9" s="1"/>
  <c r="F118" i="5"/>
  <c r="CA71" i="9"/>
  <c r="CA92" i="9" s="1"/>
  <c r="I144" i="4"/>
  <c r="P142" i="4" s="1"/>
  <c r="J246" i="4" s="1"/>
  <c r="H161" i="4"/>
  <c r="AL149" i="6"/>
  <c r="AN149" i="6"/>
  <c r="CA53" i="9"/>
  <c r="F150" i="9"/>
  <c r="AB132" i="2"/>
  <c r="AB209" i="2" s="1"/>
  <c r="AC132" i="2"/>
  <c r="AC209" i="2" s="1"/>
  <c r="AE112" i="2"/>
  <c r="AE207" i="2" s="1"/>
  <c r="F99" i="5"/>
  <c r="F97" i="5"/>
  <c r="CA67" i="9"/>
  <c r="CA88" i="9" s="1"/>
  <c r="O148" i="4"/>
  <c r="I151" i="4"/>
  <c r="P148" i="4" s="1"/>
  <c r="J252" i="4" s="1"/>
  <c r="O50" i="4"/>
  <c r="I53" i="4"/>
  <c r="P50" i="4" s="1"/>
  <c r="M87" i="6"/>
  <c r="J88" i="6"/>
  <c r="AM13" i="3"/>
  <c r="AM34" i="3" s="1"/>
  <c r="AO36" i="10"/>
  <c r="I16" i="9"/>
  <c r="AH5" i="3"/>
  <c r="AH26" i="3" s="1"/>
  <c r="AT22" i="3"/>
  <c r="H26" i="17"/>
  <c r="BJ84" i="9"/>
  <c r="AB118" i="2"/>
  <c r="AB205" i="2" s="1"/>
  <c r="AG103" i="2"/>
  <c r="AG104" i="2" s="1"/>
  <c r="AG199" i="2" s="1"/>
  <c r="P168" i="4"/>
  <c r="K246" i="4" s="1"/>
  <c r="H55" i="4"/>
  <c r="I34" i="4"/>
  <c r="P34" i="4" s="1"/>
  <c r="O34" i="4"/>
  <c r="AL143" i="6"/>
  <c r="AN143" i="6"/>
  <c r="I34" i="9"/>
  <c r="AO42" i="10"/>
  <c r="AP42" i="10" s="1"/>
  <c r="I22" i="9"/>
  <c r="N71" i="4"/>
  <c r="D180" i="4"/>
  <c r="N177" i="4" s="1"/>
  <c r="D255" i="4" s="1"/>
  <c r="D297" i="4" s="1"/>
  <c r="D154" i="6"/>
  <c r="L151" i="6" s="1"/>
  <c r="L46" i="6"/>
  <c r="D100" i="6"/>
  <c r="L97" i="6" s="1"/>
  <c r="X123" i="2"/>
  <c r="AD59" i="2"/>
  <c r="V150" i="2" s="1"/>
  <c r="AD128" i="4"/>
  <c r="O141" i="4"/>
  <c r="I142" i="4"/>
  <c r="P141" i="4" s="1"/>
  <c r="J245" i="4" s="1"/>
  <c r="H81" i="4"/>
  <c r="I9" i="4"/>
  <c r="P8" i="4" s="1"/>
  <c r="H29" i="4"/>
  <c r="W208" i="6"/>
  <c r="D291" i="6"/>
  <c r="D219" i="6"/>
  <c r="W198" i="6"/>
  <c r="M155" i="6"/>
  <c r="I158" i="6"/>
  <c r="N155" i="6" s="1"/>
  <c r="J206" i="6" s="1"/>
  <c r="M115" i="6"/>
  <c r="M132" i="6" s="1"/>
  <c r="L71" i="6"/>
  <c r="D180" i="6"/>
  <c r="L177" i="6" s="1"/>
  <c r="D202" i="6" s="1"/>
  <c r="D157" i="6"/>
  <c r="L154" i="6" s="1"/>
  <c r="L49" i="6"/>
  <c r="D103" i="6"/>
  <c r="L100" i="6" s="1"/>
  <c r="AJ11" i="3"/>
  <c r="AJ32" i="3" s="1"/>
  <c r="J15" i="9" s="1"/>
  <c r="AC161" i="10"/>
  <c r="AD161" i="10"/>
  <c r="X161" i="10"/>
  <c r="Y161" i="10"/>
  <c r="Z161" i="10"/>
  <c r="AA161" i="10"/>
  <c r="AB161" i="10"/>
  <c r="F97" i="9"/>
  <c r="O142" i="4"/>
  <c r="H187" i="6"/>
  <c r="M166" i="6"/>
  <c r="I167" i="6"/>
  <c r="I187" i="6" s="1"/>
  <c r="H29" i="6"/>
  <c r="AM35" i="10"/>
  <c r="AM167" i="10" s="1"/>
  <c r="AM197" i="10" s="1"/>
  <c r="V17" i="16" s="1"/>
  <c r="G15" i="9"/>
  <c r="AM29" i="10"/>
  <c r="G9" i="9"/>
  <c r="Z47" i="14"/>
  <c r="Z209" i="14" s="1"/>
  <c r="Z182" i="14"/>
  <c r="Z183" i="14" s="1"/>
  <c r="AD181" i="10"/>
  <c r="AD47" i="10"/>
  <c r="AD208" i="10" s="1"/>
  <c r="AC200" i="14"/>
  <c r="L19" i="17" s="1"/>
  <c r="AC201" i="14"/>
  <c r="L20" i="17" s="1"/>
  <c r="AC204" i="14"/>
  <c r="L23" i="17" s="1"/>
  <c r="AC203" i="14"/>
  <c r="L22" i="17" s="1"/>
  <c r="AC202" i="14"/>
  <c r="L21" i="17" s="1"/>
  <c r="AC206" i="14"/>
  <c r="L25" i="17" s="1"/>
  <c r="AC194" i="14"/>
  <c r="AC205" i="14"/>
  <c r="L24" i="17" s="1"/>
  <c r="AA58" i="2"/>
  <c r="AF55" i="2" s="1"/>
  <c r="W146" i="2" s="1"/>
  <c r="N43" i="4"/>
  <c r="D151" i="4"/>
  <c r="N148" i="4" s="1"/>
  <c r="D97" i="4"/>
  <c r="AM37" i="10"/>
  <c r="AM119" i="10" s="1"/>
  <c r="G17" i="9"/>
  <c r="H39" i="9" s="1"/>
  <c r="AH11" i="3"/>
  <c r="AH32" i="3" s="1"/>
  <c r="H96" i="9"/>
  <c r="I86" i="4"/>
  <c r="O86" i="4"/>
  <c r="I38" i="4"/>
  <c r="J38" i="4"/>
  <c r="AC148" i="6"/>
  <c r="D146" i="6"/>
  <c r="L38" i="6"/>
  <c r="AB200" i="14"/>
  <c r="K19" i="17" s="1"/>
  <c r="AB203" i="14"/>
  <c r="K22" i="17" s="1"/>
  <c r="AB201" i="14"/>
  <c r="K20" i="17" s="1"/>
  <c r="AB204" i="14"/>
  <c r="K23" i="17" s="1"/>
  <c r="AB206" i="14"/>
  <c r="K25" i="17" s="1"/>
  <c r="AB202" i="14"/>
  <c r="K21" i="17" s="1"/>
  <c r="AB205" i="14"/>
  <c r="K24" i="17" s="1"/>
  <c r="AB194" i="14"/>
  <c r="O35" i="4"/>
  <c r="J36" i="4"/>
  <c r="AL151" i="6"/>
  <c r="AN151" i="6"/>
  <c r="N99" i="6" s="1"/>
  <c r="R102" i="6" s="1"/>
  <c r="M10" i="6"/>
  <c r="M26" i="6" s="1"/>
  <c r="AM12" i="3"/>
  <c r="AM33" i="3" s="1"/>
  <c r="AN36" i="10"/>
  <c r="AN168" i="10" s="1"/>
  <c r="AN198" i="10" s="1"/>
  <c r="W18" i="16" s="1"/>
  <c r="H16" i="9"/>
  <c r="AO35" i="10"/>
  <c r="I15" i="9"/>
  <c r="I157" i="4"/>
  <c r="P154" i="4" s="1"/>
  <c r="J258" i="4" s="1"/>
  <c r="X65" i="5" s="1"/>
  <c r="AE148" i="4"/>
  <c r="W204" i="6"/>
  <c r="D267" i="6"/>
  <c r="M88" i="6"/>
  <c r="J90" i="6"/>
  <c r="H45" i="9"/>
  <c r="O77" i="4"/>
  <c r="I80" i="4"/>
  <c r="N41" i="4"/>
  <c r="D95" i="4"/>
  <c r="D201" i="4" s="1"/>
  <c r="N198" i="4" s="1"/>
  <c r="L69" i="6"/>
  <c r="D178" i="6"/>
  <c r="L175" i="6" s="1"/>
  <c r="D200" i="6" s="1"/>
  <c r="O116" i="4"/>
  <c r="D104" i="4"/>
  <c r="D210" i="4" s="1"/>
  <c r="N207" i="4" s="1"/>
  <c r="D94" i="4"/>
  <c r="N91" i="4" s="1"/>
  <c r="I44" i="4"/>
  <c r="P41" i="4" s="1"/>
  <c r="I160" i="6"/>
  <c r="N157" i="6" s="1"/>
  <c r="J208" i="6" s="1"/>
  <c r="I150" i="6"/>
  <c r="N147" i="6" s="1"/>
  <c r="J198" i="6" s="1"/>
  <c r="AK198" i="6" s="1"/>
  <c r="AL147" i="6"/>
  <c r="N77" i="6" s="1"/>
  <c r="R80" i="6" s="1"/>
  <c r="D95" i="6"/>
  <c r="L92" i="6" s="1"/>
  <c r="T58" i="3"/>
  <c r="AG6" i="3" s="1"/>
  <c r="AG27" i="3" s="1"/>
  <c r="G10" i="9" s="1"/>
  <c r="H32" i="9" s="1"/>
  <c r="AM42" i="10"/>
  <c r="AM174" i="10" s="1"/>
  <c r="AM204" i="10" s="1"/>
  <c r="V24" i="16" s="1"/>
  <c r="G22" i="9"/>
  <c r="J116" i="4"/>
  <c r="I88" i="4"/>
  <c r="P87" i="4" s="1"/>
  <c r="I62" i="4"/>
  <c r="P61" i="4" s="1"/>
  <c r="O51" i="4"/>
  <c r="O36" i="4"/>
  <c r="M149" i="6"/>
  <c r="M158" i="6" s="1"/>
  <c r="V116" i="6"/>
  <c r="U62" i="3"/>
  <c r="AH9" i="3" s="1"/>
  <c r="AH30" i="3" s="1"/>
  <c r="H13" i="9" s="1"/>
  <c r="H35" i="9" s="1"/>
  <c r="AA200" i="14"/>
  <c r="J19" i="17" s="1"/>
  <c r="AA204" i="14"/>
  <c r="J23" i="17" s="1"/>
  <c r="AA201" i="14"/>
  <c r="J20" i="17" s="1"/>
  <c r="AA202" i="14"/>
  <c r="J21" i="17" s="1"/>
  <c r="AA203" i="14"/>
  <c r="J22" i="17" s="1"/>
  <c r="AA206" i="14"/>
  <c r="J25" i="17" s="1"/>
  <c r="AA194" i="14"/>
  <c r="AA205" i="14"/>
  <c r="J24" i="17" s="1"/>
  <c r="Z47" i="10"/>
  <c r="Z208" i="10" s="1"/>
  <c r="AC47" i="10"/>
  <c r="AC208" i="10" s="1"/>
  <c r="H135" i="4"/>
  <c r="N90" i="4"/>
  <c r="P20" i="4"/>
  <c r="D177" i="6"/>
  <c r="L174" i="6" s="1"/>
  <c r="D199" i="6" s="1"/>
  <c r="D97" i="6"/>
  <c r="L94" i="6" s="1"/>
  <c r="X206" i="14"/>
  <c r="G25" i="17" s="1"/>
  <c r="X201" i="14"/>
  <c r="G20" i="17" s="1"/>
  <c r="X200" i="14"/>
  <c r="G19" i="17" s="1"/>
  <c r="X204" i="14"/>
  <c r="G23" i="17" s="1"/>
  <c r="X202" i="14"/>
  <c r="G21" i="17" s="1"/>
  <c r="X203" i="14"/>
  <c r="G22" i="17" s="1"/>
  <c r="X194" i="14"/>
  <c r="X205" i="14"/>
  <c r="G24" i="17" s="1"/>
  <c r="P73" i="4"/>
  <c r="H33" i="9"/>
  <c r="Y47" i="10"/>
  <c r="Y208" i="10" s="1"/>
  <c r="N98" i="4"/>
  <c r="I17" i="4"/>
  <c r="P14" i="4" s="1"/>
  <c r="AN146" i="6"/>
  <c r="N98" i="6" s="1"/>
  <c r="R101" i="6" s="1"/>
  <c r="J118" i="6"/>
  <c r="X128" i="4"/>
  <c r="AE115" i="4"/>
  <c r="O103" i="4"/>
  <c r="I153" i="6"/>
  <c r="N150" i="6" s="1"/>
  <c r="J201" i="6" s="1"/>
  <c r="AK201" i="6" s="1"/>
  <c r="Z172" i="10"/>
  <c r="X172" i="10"/>
  <c r="AA172" i="10"/>
  <c r="AB172" i="10"/>
  <c r="AC172" i="10"/>
  <c r="AD172" i="10"/>
  <c r="Y172" i="10"/>
  <c r="AD203" i="14"/>
  <c r="M22" i="17" s="1"/>
  <c r="AD206" i="14"/>
  <c r="M25" i="17" s="1"/>
  <c r="AD201" i="14"/>
  <c r="M20" i="17" s="1"/>
  <c r="AD204" i="14"/>
  <c r="M23" i="17" s="1"/>
  <c r="AD200" i="14"/>
  <c r="M19" i="17" s="1"/>
  <c r="AD202" i="14"/>
  <c r="M21" i="17" s="1"/>
  <c r="AD194" i="14"/>
  <c r="AD205" i="14"/>
  <c r="M24" i="17" s="1"/>
  <c r="AA46" i="10"/>
  <c r="AA181" i="10" s="1"/>
  <c r="AA178" i="10"/>
  <c r="I36" i="9"/>
  <c r="Z174" i="10"/>
  <c r="AA174" i="10"/>
  <c r="AB174" i="10"/>
  <c r="X174" i="10"/>
  <c r="AC174" i="10"/>
  <c r="AD174" i="10"/>
  <c r="Y174" i="10"/>
  <c r="D100" i="4"/>
  <c r="D206" i="4" s="1"/>
  <c r="N203" i="4" s="1"/>
  <c r="I40" i="4"/>
  <c r="P37" i="4" s="1"/>
  <c r="R29" i="6"/>
  <c r="Y208" i="14"/>
  <c r="D105" i="4"/>
  <c r="D211" i="4" s="1"/>
  <c r="N208" i="4" s="1"/>
  <c r="DE38" i="9"/>
  <c r="DE36" i="9"/>
  <c r="DE39" i="9"/>
  <c r="DE37" i="9"/>
  <c r="H50" i="9"/>
  <c r="CC35" i="9" s="1"/>
  <c r="CC79" i="9" s="1"/>
  <c r="I50" i="9"/>
  <c r="CD35" i="9" s="1"/>
  <c r="CD79" i="9" s="1"/>
  <c r="J47" i="9"/>
  <c r="I74" i="9"/>
  <c r="BJ40" i="9"/>
  <c r="BJ85" i="9"/>
  <c r="AG37" i="2"/>
  <c r="AG37" i="1"/>
  <c r="K321" i="4"/>
  <c r="AB65" i="5"/>
  <c r="AP258" i="4"/>
  <c r="AB65" i="9"/>
  <c r="AM251" i="4"/>
  <c r="J272" i="4"/>
  <c r="X58" i="5"/>
  <c r="X58" i="9"/>
  <c r="T66" i="9"/>
  <c r="AJ259" i="4"/>
  <c r="I322" i="4"/>
  <c r="T66" i="5"/>
  <c r="I160" i="4"/>
  <c r="P157" i="4" s="1"/>
  <c r="J261" i="4" s="1"/>
  <c r="X68" i="5" s="1"/>
  <c r="I153" i="4"/>
  <c r="P150" i="4" s="1"/>
  <c r="J254" i="4" s="1"/>
  <c r="X61" i="5" s="1"/>
  <c r="I46" i="4"/>
  <c r="P43" i="4" s="1"/>
  <c r="I42" i="4"/>
  <c r="P39" i="4" s="1"/>
  <c r="I15" i="4"/>
  <c r="P12" i="4" s="1"/>
  <c r="AD120" i="4"/>
  <c r="AE120" i="4"/>
  <c r="AE116" i="4"/>
  <c r="AD116" i="4"/>
  <c r="I158" i="4"/>
  <c r="P155" i="4" s="1"/>
  <c r="J259" i="4" s="1"/>
  <c r="X66" i="5" s="1"/>
  <c r="AN146" i="4"/>
  <c r="AN142" i="4"/>
  <c r="N97" i="4"/>
  <c r="N96" i="4"/>
  <c r="D205" i="4"/>
  <c r="N202" i="4" s="1"/>
  <c r="I152" i="4"/>
  <c r="P149" i="4" s="1"/>
  <c r="J253" i="4" s="1"/>
  <c r="X60" i="5" s="1"/>
  <c r="AP151" i="4"/>
  <c r="I147" i="4"/>
  <c r="AP146" i="4"/>
  <c r="AP145" i="4"/>
  <c r="AP142" i="4"/>
  <c r="X129" i="4"/>
  <c r="X127" i="4"/>
  <c r="X119" i="4"/>
  <c r="AA119" i="4" s="1"/>
  <c r="H107" i="4"/>
  <c r="N103" i="4"/>
  <c r="N93" i="4"/>
  <c r="D202" i="4"/>
  <c r="N199" i="4" s="1"/>
  <c r="N92" i="4"/>
  <c r="I52" i="4"/>
  <c r="I49" i="4"/>
  <c r="I47" i="4"/>
  <c r="P44" i="4" s="1"/>
  <c r="I45" i="4"/>
  <c r="P42" i="4" s="1"/>
  <c r="I43" i="4"/>
  <c r="P40" i="4" s="1"/>
  <c r="I41" i="4"/>
  <c r="P38" i="4" s="1"/>
  <c r="I28" i="4"/>
  <c r="P25" i="4" s="1"/>
  <c r="I27" i="4"/>
  <c r="P24" i="4" s="1"/>
  <c r="I25" i="4"/>
  <c r="Q42" i="4"/>
  <c r="Q94" i="4"/>
  <c r="R94" i="4" s="1"/>
  <c r="H252" i="4" s="1"/>
  <c r="Q16" i="4"/>
  <c r="R16" i="4" s="1"/>
  <c r="E252" i="4" s="1"/>
  <c r="Q68" i="4"/>
  <c r="AG122" i="4"/>
  <c r="AJ249" i="4"/>
  <c r="T56" i="5"/>
  <c r="I270" i="4"/>
  <c r="T56" i="9"/>
  <c r="J260" i="4"/>
  <c r="AB56" i="5"/>
  <c r="AP250" i="4"/>
  <c r="AB57" i="9"/>
  <c r="AP253" i="4"/>
  <c r="K295" i="4"/>
  <c r="AB60" i="5"/>
  <c r="AB60" i="9"/>
  <c r="AP254" i="4"/>
  <c r="AB61" i="5"/>
  <c r="K296" i="4"/>
  <c r="AB61" i="9"/>
  <c r="AP257" i="4"/>
  <c r="AB64" i="5"/>
  <c r="K320" i="4"/>
  <c r="AB64" i="9"/>
  <c r="K247" i="4"/>
  <c r="AP251" i="4"/>
  <c r="AB58" i="5"/>
  <c r="K272" i="4"/>
  <c r="AB58" i="9"/>
  <c r="AP252" i="4"/>
  <c r="AB59" i="5"/>
  <c r="K294" i="4"/>
  <c r="AB59" i="9"/>
  <c r="AP255" i="4"/>
  <c r="K297" i="4"/>
  <c r="AB62" i="5"/>
  <c r="AB62" i="9"/>
  <c r="K319" i="4"/>
  <c r="AB63" i="5"/>
  <c r="AP256" i="4"/>
  <c r="AB63" i="9"/>
  <c r="D294" i="4"/>
  <c r="Y252" i="4"/>
  <c r="D271" i="4"/>
  <c r="AB55" i="9"/>
  <c r="AP248" i="4"/>
  <c r="K269" i="4"/>
  <c r="AB55" i="5"/>
  <c r="Y248" i="4"/>
  <c r="Y258" i="4"/>
  <c r="D321" i="4"/>
  <c r="Y257" i="4"/>
  <c r="D320" i="4"/>
  <c r="D295" i="4"/>
  <c r="Y253" i="4"/>
  <c r="Y251" i="4"/>
  <c r="D272" i="4"/>
  <c r="Y249" i="4"/>
  <c r="D270" i="4"/>
  <c r="X64" i="5"/>
  <c r="X64" i="9"/>
  <c r="AM257" i="4"/>
  <c r="J320" i="4"/>
  <c r="J319" i="4"/>
  <c r="X63" i="5"/>
  <c r="X63" i="9"/>
  <c r="AM256" i="4"/>
  <c r="AN149" i="4"/>
  <c r="AE126" i="4"/>
  <c r="AH140" i="4"/>
  <c r="AH141" i="4"/>
  <c r="AD127" i="4"/>
  <c r="AF127" i="4" s="1"/>
  <c r="AH142" i="4"/>
  <c r="AP147" i="4"/>
  <c r="P103" i="4" s="1"/>
  <c r="AN147" i="4"/>
  <c r="AH143" i="4"/>
  <c r="AH145" i="4"/>
  <c r="AH147" i="4"/>
  <c r="AH144" i="4"/>
  <c r="AH146" i="4"/>
  <c r="AE125" i="4"/>
  <c r="AN145" i="4"/>
  <c r="I65" i="4"/>
  <c r="I39" i="4"/>
  <c r="O21" i="4"/>
  <c r="AU30" i="17"/>
  <c r="BN104" i="9"/>
  <c r="BN91" i="9"/>
  <c r="BN103" i="9"/>
  <c r="BN96" i="9"/>
  <c r="AQ25" i="3"/>
  <c r="AQ27" i="3" s="1"/>
  <c r="AG36" i="3"/>
  <c r="AH36" i="3"/>
  <c r="H19" i="9" s="1"/>
  <c r="AH20" i="3"/>
  <c r="AT25" i="3"/>
  <c r="BN99" i="9"/>
  <c r="BN93" i="9"/>
  <c r="BN89" i="9"/>
  <c r="BN85" i="9"/>
  <c r="BN83" i="9"/>
  <c r="BN82" i="9"/>
  <c r="AN34" i="10"/>
  <c r="AN166" i="10" s="1"/>
  <c r="AN196" i="10" s="1"/>
  <c r="W16" i="16" s="1"/>
  <c r="AG33" i="1"/>
  <c r="AG163" i="1" s="1"/>
  <c r="AG33" i="2"/>
  <c r="AG202" i="2" s="1"/>
  <c r="AM40" i="10"/>
  <c r="AM131" i="10" s="1"/>
  <c r="AM172" i="10" s="1"/>
  <c r="AM202" i="10" s="1"/>
  <c r="V22" i="16" s="1"/>
  <c r="AF39" i="2"/>
  <c r="AF130" i="2" s="1"/>
  <c r="AF208" i="2" s="1"/>
  <c r="AF39" i="1"/>
  <c r="AF128" i="1" s="1"/>
  <c r="AF169" i="1" s="1"/>
  <c r="AN40" i="10"/>
  <c r="AN131" i="10" s="1"/>
  <c r="AN172" i="10" s="1"/>
  <c r="AN202" i="10" s="1"/>
  <c r="W22" i="16" s="1"/>
  <c r="AG39" i="2"/>
  <c r="AG130" i="2" s="1"/>
  <c r="AG208" i="2" s="1"/>
  <c r="AG39" i="1"/>
  <c r="AG128" i="1" s="1"/>
  <c r="AG169" i="1" s="1"/>
  <c r="BN105" i="9"/>
  <c r="BN101" i="9"/>
  <c r="BN97" i="9"/>
  <c r="BN94" i="9"/>
  <c r="BN90" i="9"/>
  <c r="BN88" i="9"/>
  <c r="BN86" i="9"/>
  <c r="BN84" i="9"/>
  <c r="AN31" i="10"/>
  <c r="AG30" i="2"/>
  <c r="AG30" i="1"/>
  <c r="AN30" i="10"/>
  <c r="AN162" i="10" s="1"/>
  <c r="AN192" i="10" s="1"/>
  <c r="W12" i="16" s="1"/>
  <c r="AG29" i="1"/>
  <c r="AG159" i="1" s="1"/>
  <c r="AG29" i="2"/>
  <c r="AG198" i="2" s="1"/>
  <c r="AF29" i="1"/>
  <c r="AF159" i="1" s="1"/>
  <c r="AN43" i="10"/>
  <c r="AN114" i="10" s="1"/>
  <c r="AN175" i="10" s="1"/>
  <c r="AN205" i="10" s="1"/>
  <c r="W25" i="16" s="1"/>
  <c r="AG42" i="2"/>
  <c r="AG113" i="2" s="1"/>
  <c r="AG211" i="2" s="1"/>
  <c r="AG42" i="1"/>
  <c r="AG111" i="1" s="1"/>
  <c r="AG172" i="1" s="1"/>
  <c r="AN37" i="10"/>
  <c r="AN119" i="10" s="1"/>
  <c r="AG36" i="2"/>
  <c r="AG118" i="2" s="1"/>
  <c r="AG205" i="2" s="1"/>
  <c r="AG36" i="1"/>
  <c r="AG116" i="1" s="1"/>
  <c r="AG20" i="3"/>
  <c r="AO27" i="10"/>
  <c r="AH26" i="2"/>
  <c r="AH195" i="2" s="1"/>
  <c r="AH26" i="1"/>
  <c r="AO28" i="10"/>
  <c r="AH27" i="2"/>
  <c r="AH196" i="2" s="1"/>
  <c r="AH27" i="1"/>
  <c r="AO33" i="10"/>
  <c r="AH32" i="2"/>
  <c r="AH201" i="2" s="1"/>
  <c r="AH32" i="1"/>
  <c r="AN28" i="10"/>
  <c r="AN160" i="10" s="1"/>
  <c r="AN190" i="10" s="1"/>
  <c r="W10" i="16" s="1"/>
  <c r="AG27" i="2"/>
  <c r="AG196" i="2" s="1"/>
  <c r="AG27" i="1"/>
  <c r="AG157" i="1" s="1"/>
  <c r="AN32" i="10"/>
  <c r="AN164" i="10" s="1"/>
  <c r="AN194" i="10" s="1"/>
  <c r="W14" i="16" s="1"/>
  <c r="AG31" i="2"/>
  <c r="AG200" i="2" s="1"/>
  <c r="AG31" i="1"/>
  <c r="AG161" i="1" s="1"/>
  <c r="AO37" i="10"/>
  <c r="AH36" i="1"/>
  <c r="AH36" i="2"/>
  <c r="AM27" i="10"/>
  <c r="AM159" i="10" s="1"/>
  <c r="AM189" i="10" s="1"/>
  <c r="V9" i="16" s="1"/>
  <c r="AF26" i="2"/>
  <c r="AF26" i="1"/>
  <c r="AM28" i="10"/>
  <c r="AM160" i="10" s="1"/>
  <c r="AM190" i="10" s="1"/>
  <c r="V10" i="16" s="1"/>
  <c r="AF27" i="2"/>
  <c r="AF196" i="2" s="1"/>
  <c r="AF27" i="1"/>
  <c r="AF157" i="1" s="1"/>
  <c r="AM33" i="10"/>
  <c r="AM165" i="10" s="1"/>
  <c r="AM195" i="10" s="1"/>
  <c r="V15" i="16" s="1"/>
  <c r="AF32" i="2"/>
  <c r="AF201" i="2" s="1"/>
  <c r="AF32" i="1"/>
  <c r="AF162" i="1" s="1"/>
  <c r="AN27" i="10"/>
  <c r="AN159" i="10" s="1"/>
  <c r="AN189" i="10" s="1"/>
  <c r="W9" i="16" s="1"/>
  <c r="AG26" i="2"/>
  <c r="AG195" i="2" s="1"/>
  <c r="AG26" i="1"/>
  <c r="AN33" i="10"/>
  <c r="AN165" i="10" s="1"/>
  <c r="AN195" i="10" s="1"/>
  <c r="W15" i="16" s="1"/>
  <c r="AG32" i="2"/>
  <c r="AG201" i="2" s="1"/>
  <c r="AH37" i="2"/>
  <c r="AH25" i="2"/>
  <c r="AI20" i="3"/>
  <c r="AM158" i="10"/>
  <c r="AM188" i="10" s="1"/>
  <c r="V8" i="16" s="1"/>
  <c r="AO131" i="10"/>
  <c r="AO172" i="10" s="1"/>
  <c r="AO202" i="10" s="1"/>
  <c r="X22" i="16" s="1"/>
  <c r="AP40" i="10"/>
  <c r="AN158" i="10"/>
  <c r="AN188" i="10" s="1"/>
  <c r="W8" i="16" s="1"/>
  <c r="AO34" i="10"/>
  <c r="AH33" i="2"/>
  <c r="AH202" i="2" s="1"/>
  <c r="AH33" i="1"/>
  <c r="AO32" i="10"/>
  <c r="AH31" i="1"/>
  <c r="AH31" i="2"/>
  <c r="AH200" i="2" s="1"/>
  <c r="AO31" i="10"/>
  <c r="AP31" i="10" s="1"/>
  <c r="AH30" i="2"/>
  <c r="AH30" i="1"/>
  <c r="AI30" i="1" s="1"/>
  <c r="AO30" i="10"/>
  <c r="AH29" i="2"/>
  <c r="AH198" i="2" s="1"/>
  <c r="AH29" i="1"/>
  <c r="AM43" i="10"/>
  <c r="AM114" i="10" s="1"/>
  <c r="AM175" i="10" s="1"/>
  <c r="AM205" i="10" s="1"/>
  <c r="V25" i="16" s="1"/>
  <c r="AF42" i="2"/>
  <c r="AF42" i="1"/>
  <c r="AP26" i="10"/>
  <c r="AO158" i="10"/>
  <c r="AO188" i="10" s="1"/>
  <c r="X8" i="16" s="1"/>
  <c r="AP38" i="10"/>
  <c r="AM34" i="10"/>
  <c r="AM166" i="10" s="1"/>
  <c r="AM196" i="10" s="1"/>
  <c r="V16" i="16" s="1"/>
  <c r="AF33" i="2"/>
  <c r="AF202" i="2" s="1"/>
  <c r="AF33" i="1"/>
  <c r="AF163" i="1" s="1"/>
  <c r="AM32" i="10"/>
  <c r="AM164" i="10" s="1"/>
  <c r="AM194" i="10" s="1"/>
  <c r="V14" i="16" s="1"/>
  <c r="AF31" i="2"/>
  <c r="AF200" i="2" s="1"/>
  <c r="AF31" i="1"/>
  <c r="AF161" i="1" s="1"/>
  <c r="AM31" i="10"/>
  <c r="AF30" i="2"/>
  <c r="AF30" i="1"/>
  <c r="AO43" i="10"/>
  <c r="AH42" i="2"/>
  <c r="AH113" i="2" s="1"/>
  <c r="AH211" i="2" s="1"/>
  <c r="AH42" i="1"/>
  <c r="AO174" i="10"/>
  <c r="AO204" i="10" s="1"/>
  <c r="X24" i="16" s="1"/>
  <c r="AO168" i="10"/>
  <c r="AO198" i="10" s="1"/>
  <c r="X18" i="16" s="1"/>
  <c r="AP36" i="10"/>
  <c r="AO167" i="10"/>
  <c r="AO197" i="10" s="1"/>
  <c r="X17" i="16" s="1"/>
  <c r="AP35" i="10"/>
  <c r="AO161" i="10"/>
  <c r="AO191" i="10" s="1"/>
  <c r="X11" i="16" s="1"/>
  <c r="AP29" i="10"/>
  <c r="AO147" i="10"/>
  <c r="AM161" i="10"/>
  <c r="AM191" i="10" s="1"/>
  <c r="V11" i="16" s="1"/>
  <c r="AM147" i="10"/>
  <c r="AG2" i="10"/>
  <c r="AG107" i="10" s="1"/>
  <c r="F2" i="10"/>
  <c r="W161" i="10"/>
  <c r="W30" i="10"/>
  <c r="AF138" i="10"/>
  <c r="DA37" i="9"/>
  <c r="O100" i="6" l="1"/>
  <c r="AE128" i="6"/>
  <c r="O48" i="6"/>
  <c r="P48" i="6" s="1"/>
  <c r="F205" i="6" s="1"/>
  <c r="O22" i="6"/>
  <c r="P22" i="6" s="1"/>
  <c r="E205" i="6" s="1"/>
  <c r="O74" i="6"/>
  <c r="O23" i="6"/>
  <c r="P23" i="6" s="1"/>
  <c r="E206" i="6" s="1"/>
  <c r="O101" i="6"/>
  <c r="AE129" i="6"/>
  <c r="O49" i="6"/>
  <c r="P49" i="6" s="1"/>
  <c r="F206" i="6" s="1"/>
  <c r="O75" i="6"/>
  <c r="CS80" i="9"/>
  <c r="AQ8" i="17" s="1"/>
  <c r="AM30" i="17" s="1"/>
  <c r="O62" i="6"/>
  <c r="P62" i="6" s="1"/>
  <c r="G193" i="6" s="1"/>
  <c r="O10" i="6"/>
  <c r="P10" i="6" s="1"/>
  <c r="E193" i="6" s="1"/>
  <c r="G8" i="5" s="1"/>
  <c r="O88" i="6"/>
  <c r="P88" i="6" s="1"/>
  <c r="H193" i="6" s="1"/>
  <c r="AC119" i="6"/>
  <c r="AB119" i="6"/>
  <c r="AD119" i="6" s="1"/>
  <c r="AG32" i="1"/>
  <c r="AG162" i="1" s="1"/>
  <c r="AP261" i="4"/>
  <c r="N52" i="6"/>
  <c r="AA125" i="6"/>
  <c r="AD125" i="6" s="1"/>
  <c r="N125" i="6"/>
  <c r="I202" i="6" s="1"/>
  <c r="AH202" i="6" s="1"/>
  <c r="W29" i="2"/>
  <c r="W197" i="2"/>
  <c r="X135" i="6"/>
  <c r="AM244" i="4"/>
  <c r="AE117" i="6"/>
  <c r="M184" i="6"/>
  <c r="X51" i="9"/>
  <c r="CS36" i="9" s="1"/>
  <c r="I43" i="9"/>
  <c r="O63" i="6"/>
  <c r="P63" i="6" s="1"/>
  <c r="G194" i="6" s="1"/>
  <c r="AA76" i="2"/>
  <c r="Z95" i="2"/>
  <c r="AE75" i="2"/>
  <c r="AB76" i="2"/>
  <c r="O78" i="4"/>
  <c r="O37" i="6"/>
  <c r="P37" i="6" s="1"/>
  <c r="F194" i="6" s="1"/>
  <c r="O93" i="6"/>
  <c r="P93" i="6" s="1"/>
  <c r="H198" i="6" s="1"/>
  <c r="AE121" i="6"/>
  <c r="O67" i="6"/>
  <c r="P67" i="6" s="1"/>
  <c r="G198" i="6" s="1"/>
  <c r="O15" i="6"/>
  <c r="P15" i="6" s="1"/>
  <c r="E198" i="6" s="1"/>
  <c r="O41" i="6"/>
  <c r="P41" i="6" s="1"/>
  <c r="F198" i="6" s="1"/>
  <c r="O11" i="6"/>
  <c r="P11" i="6" s="1"/>
  <c r="E194" i="6" s="1"/>
  <c r="G9" i="5" s="1"/>
  <c r="AA120" i="6"/>
  <c r="AD120" i="6" s="1"/>
  <c r="N120" i="6"/>
  <c r="I197" i="6" s="1"/>
  <c r="AH197" i="6" s="1"/>
  <c r="O36" i="6"/>
  <c r="P36" i="6" s="1"/>
  <c r="F193" i="6" s="1"/>
  <c r="N122" i="6"/>
  <c r="I199" i="6" s="1"/>
  <c r="AH199" i="6" s="1"/>
  <c r="AA122" i="6"/>
  <c r="AD122" i="6" s="1"/>
  <c r="AG25" i="2"/>
  <c r="AG194" i="2" s="1"/>
  <c r="AG25" i="1"/>
  <c r="AG155" i="1" s="1"/>
  <c r="N123" i="6"/>
  <c r="I200" i="6" s="1"/>
  <c r="AH200" i="6" s="1"/>
  <c r="AA123" i="6"/>
  <c r="AD123" i="6" s="1"/>
  <c r="AF29" i="2"/>
  <c r="AF198" i="2" s="1"/>
  <c r="AM30" i="10"/>
  <c r="AM162" i="10" s="1"/>
  <c r="AM192" i="10" s="1"/>
  <c r="V12" i="16" s="1"/>
  <c r="AE92" i="2"/>
  <c r="I161" i="6"/>
  <c r="N72" i="6"/>
  <c r="R75" i="6" s="1"/>
  <c r="AA114" i="6"/>
  <c r="N114" i="6"/>
  <c r="I191" i="6" s="1"/>
  <c r="AH191" i="6" s="1"/>
  <c r="J50" i="5"/>
  <c r="CE58" i="9" s="1"/>
  <c r="J74" i="5"/>
  <c r="K47" i="5"/>
  <c r="AK205" i="6"/>
  <c r="J268" i="6"/>
  <c r="AF36" i="2"/>
  <c r="AF118" i="2" s="1"/>
  <c r="AF205" i="2" s="1"/>
  <c r="AF36" i="1"/>
  <c r="AF116" i="1" s="1"/>
  <c r="H148" i="5"/>
  <c r="H96" i="5"/>
  <c r="H117" i="5"/>
  <c r="I135" i="6"/>
  <c r="AO124" i="10"/>
  <c r="AO170" i="10" s="1"/>
  <c r="AO200" i="10" s="1"/>
  <c r="X20" i="16" s="1"/>
  <c r="AN39" i="10"/>
  <c r="AN113" i="10" s="1"/>
  <c r="AN171" i="10" s="1"/>
  <c r="AN201" i="10" s="1"/>
  <c r="W21" i="16" s="1"/>
  <c r="P77" i="4"/>
  <c r="AE116" i="6"/>
  <c r="P46" i="6"/>
  <c r="F203" i="6" s="1"/>
  <c r="AB114" i="6"/>
  <c r="AC114" i="6"/>
  <c r="AC132" i="6" s="1"/>
  <c r="H44" i="9"/>
  <c r="I32" i="9"/>
  <c r="H28" i="9"/>
  <c r="H49" i="9" s="1"/>
  <c r="I44" i="9"/>
  <c r="I39" i="9"/>
  <c r="I38" i="9"/>
  <c r="H38" i="9"/>
  <c r="Y261" i="4"/>
  <c r="Y260" i="4"/>
  <c r="AC115" i="4"/>
  <c r="AF115" i="4" s="1"/>
  <c r="O184" i="4"/>
  <c r="AJ245" i="4"/>
  <c r="T52" i="9"/>
  <c r="T52" i="5"/>
  <c r="R42" i="4"/>
  <c r="F252" i="4" s="1"/>
  <c r="AF119" i="4"/>
  <c r="Q91" i="4" s="1"/>
  <c r="R91" i="4" s="1"/>
  <c r="H249" i="4" s="1"/>
  <c r="AG249" i="4" s="1"/>
  <c r="P74" i="4"/>
  <c r="P101" i="4"/>
  <c r="AJ244" i="4"/>
  <c r="X100" i="5"/>
  <c r="Y255" i="4"/>
  <c r="K344" i="4"/>
  <c r="N99" i="4"/>
  <c r="P123" i="4"/>
  <c r="I253" i="4" s="1"/>
  <c r="AC123" i="4"/>
  <c r="AF123" i="4" s="1"/>
  <c r="X60" i="9"/>
  <c r="Y259" i="4"/>
  <c r="AB66" i="5"/>
  <c r="AB121" i="5" s="1"/>
  <c r="X100" i="9"/>
  <c r="J295" i="4"/>
  <c r="AP259" i="4"/>
  <c r="AM253" i="4"/>
  <c r="AB66" i="9"/>
  <c r="P45" i="4"/>
  <c r="R68" i="4"/>
  <c r="G252" i="4" s="1"/>
  <c r="AB68" i="9"/>
  <c r="Q75" i="4"/>
  <c r="AG129" i="4"/>
  <c r="Q23" i="4"/>
  <c r="Q101" i="4"/>
  <c r="Q49" i="4"/>
  <c r="AM250" i="4"/>
  <c r="AB57" i="5"/>
  <c r="O104" i="4"/>
  <c r="O132" i="4"/>
  <c r="AB56" i="9"/>
  <c r="K270" i="4"/>
  <c r="P97" i="4"/>
  <c r="O158" i="4"/>
  <c r="T149" i="9"/>
  <c r="D296" i="4"/>
  <c r="J271" i="4"/>
  <c r="T51" i="5"/>
  <c r="CO59" i="9" s="1"/>
  <c r="X57" i="9"/>
  <c r="CS42" i="9" s="1"/>
  <c r="CS86" i="9" s="1"/>
  <c r="AQ14" i="17" s="1"/>
  <c r="AM36" i="17" s="1"/>
  <c r="AM56" i="17" s="1"/>
  <c r="R102" i="4"/>
  <c r="H260" i="4" s="1"/>
  <c r="N100" i="4"/>
  <c r="AB67" i="5"/>
  <c r="AM258" i="4"/>
  <c r="X65" i="9"/>
  <c r="CS50" i="9" s="1"/>
  <c r="D319" i="4"/>
  <c r="K343" i="4"/>
  <c r="P120" i="4"/>
  <c r="I250" i="4" s="1"/>
  <c r="AC120" i="4"/>
  <c r="AF120" i="4" s="1"/>
  <c r="P131" i="4"/>
  <c r="I261" i="4" s="1"/>
  <c r="AC131" i="4"/>
  <c r="AF131" i="4" s="1"/>
  <c r="AG131" i="4" s="1"/>
  <c r="J321" i="4"/>
  <c r="X56" i="5"/>
  <c r="X76" i="5" s="1"/>
  <c r="X56" i="9"/>
  <c r="Q24" i="4"/>
  <c r="AB67" i="9"/>
  <c r="J270" i="4"/>
  <c r="Q76" i="4"/>
  <c r="R76" i="4" s="1"/>
  <c r="G260" i="4" s="1"/>
  <c r="Q50" i="4"/>
  <c r="R50" i="4" s="1"/>
  <c r="F260" i="4" s="1"/>
  <c r="AG130" i="4"/>
  <c r="O26" i="4"/>
  <c r="P117" i="4"/>
  <c r="I247" i="4" s="1"/>
  <c r="AC117" i="4"/>
  <c r="AF117" i="4" s="1"/>
  <c r="Q15" i="4"/>
  <c r="R15" i="4" s="1"/>
  <c r="E251" i="4" s="1"/>
  <c r="E272" i="4" s="1"/>
  <c r="Q67" i="4"/>
  <c r="R67" i="4" s="1"/>
  <c r="G251" i="4" s="1"/>
  <c r="AG121" i="4"/>
  <c r="Q41" i="4"/>
  <c r="R41" i="4" s="1"/>
  <c r="F251" i="4" s="1"/>
  <c r="J58" i="5" s="1"/>
  <c r="Q93" i="4"/>
  <c r="R93" i="4" s="1"/>
  <c r="H251" i="4" s="1"/>
  <c r="P58" i="5" s="1"/>
  <c r="AF114" i="4"/>
  <c r="X61" i="9"/>
  <c r="J296" i="4"/>
  <c r="D204" i="4"/>
  <c r="N201" i="4" s="1"/>
  <c r="N95" i="4"/>
  <c r="AM247" i="4"/>
  <c r="X54" i="9"/>
  <c r="CS39" i="9" s="1"/>
  <c r="X54" i="5"/>
  <c r="CS62" i="9" s="1"/>
  <c r="CS83" i="9" s="1"/>
  <c r="AQ11" i="17" s="1"/>
  <c r="AM33" i="17" s="1"/>
  <c r="P128" i="4"/>
  <c r="I258" i="4" s="1"/>
  <c r="AC128" i="4"/>
  <c r="AF128" i="4" s="1"/>
  <c r="CO49" i="9"/>
  <c r="T119" i="9"/>
  <c r="AE132" i="4"/>
  <c r="AC118" i="4"/>
  <c r="AF118" i="4" s="1"/>
  <c r="P118" i="4"/>
  <c r="I248" i="4" s="1"/>
  <c r="CO72" i="9"/>
  <c r="CO93" i="9" s="1"/>
  <c r="AM21" i="17" s="1"/>
  <c r="AI43" i="17" s="1"/>
  <c r="AI98" i="17" s="1"/>
  <c r="T119" i="5"/>
  <c r="AG38" i="2"/>
  <c r="AG112" i="2" s="1"/>
  <c r="AG207" i="2" s="1"/>
  <c r="AM254" i="4"/>
  <c r="P125" i="4"/>
  <c r="I255" i="4" s="1"/>
  <c r="AC125" i="4"/>
  <c r="AF125" i="4" s="1"/>
  <c r="J13" i="17"/>
  <c r="J26" i="17" s="1"/>
  <c r="AA208" i="14"/>
  <c r="AK208" i="6"/>
  <c r="J291" i="6"/>
  <c r="M104" i="6"/>
  <c r="AF6" i="3"/>
  <c r="AF26" i="3"/>
  <c r="AF136" i="1"/>
  <c r="AF138" i="1" s="1"/>
  <c r="AF139" i="1" s="1"/>
  <c r="AD136" i="1"/>
  <c r="AD138" i="1" s="1"/>
  <c r="AD139" i="1" s="1"/>
  <c r="Y136" i="1"/>
  <c r="AA136" i="1"/>
  <c r="AC136" i="1"/>
  <c r="AC138" i="1" s="1"/>
  <c r="AC139" i="1" s="1"/>
  <c r="AE136" i="1"/>
  <c r="AE138" i="1" s="1"/>
  <c r="AE139" i="1" s="1"/>
  <c r="Z136" i="1"/>
  <c r="X136" i="1"/>
  <c r="AB136" i="1"/>
  <c r="N166" i="6"/>
  <c r="N71" i="6"/>
  <c r="N75" i="6"/>
  <c r="R78" i="6" s="1"/>
  <c r="E1" i="2"/>
  <c r="Y1" i="2"/>
  <c r="Y106" i="2" s="1"/>
  <c r="Y206" i="6"/>
  <c r="F269" i="6"/>
  <c r="H21" i="5"/>
  <c r="N158" i="6"/>
  <c r="J192" i="6"/>
  <c r="AK192" i="6" s="1"/>
  <c r="CO43" i="9"/>
  <c r="CO87" i="9" s="1"/>
  <c r="AM15" i="17" s="1"/>
  <c r="AI37" i="17" s="1"/>
  <c r="AI57" i="17" s="1"/>
  <c r="T78" i="9"/>
  <c r="AB138" i="1"/>
  <c r="AB139" i="1" s="1"/>
  <c r="AA135" i="1"/>
  <c r="N74" i="6"/>
  <c r="R77" i="6" s="1"/>
  <c r="N73" i="6"/>
  <c r="D203" i="4"/>
  <c r="N200" i="4" s="1"/>
  <c r="N94" i="4"/>
  <c r="AM252" i="4"/>
  <c r="X59" i="5"/>
  <c r="X59" i="9"/>
  <c r="J294" i="4"/>
  <c r="AB144" i="1"/>
  <c r="AB158" i="1"/>
  <c r="T78" i="5"/>
  <c r="CO66" i="9"/>
  <c r="AM259" i="4"/>
  <c r="AA47" i="10"/>
  <c r="AA208" i="10" s="1"/>
  <c r="H40" i="9"/>
  <c r="Y100" i="1"/>
  <c r="Y101" i="1" s="1"/>
  <c r="Y102" i="1" s="1"/>
  <c r="Y160" i="1" s="1"/>
  <c r="Z100" i="1"/>
  <c r="Z101" i="1" s="1"/>
  <c r="Z102" i="1" s="1"/>
  <c r="Z160" i="1" s="1"/>
  <c r="AI38" i="1"/>
  <c r="AH110" i="1"/>
  <c r="AH168" i="1" s="1"/>
  <c r="AH158" i="1"/>
  <c r="AI28" i="1"/>
  <c r="P99" i="6"/>
  <c r="H204" i="6" s="1"/>
  <c r="N101" i="6"/>
  <c r="N97" i="6"/>
  <c r="AO113" i="10"/>
  <c r="AO171" i="10" s="1"/>
  <c r="AO201" i="10" s="1"/>
  <c r="X21" i="16" s="1"/>
  <c r="X66" i="9"/>
  <c r="D241" i="6"/>
  <c r="W199" i="6"/>
  <c r="W200" i="6"/>
  <c r="D242" i="6"/>
  <c r="Y102" i="2"/>
  <c r="Y103" i="2" s="1"/>
  <c r="Y104" i="2" s="1"/>
  <c r="Y199" i="2" s="1"/>
  <c r="Z102" i="2"/>
  <c r="Z103" i="2" s="1"/>
  <c r="Z104" i="2" s="1"/>
  <c r="Z199" i="2" s="1"/>
  <c r="AG5" i="11"/>
  <c r="W6" i="1"/>
  <c r="O96" i="6"/>
  <c r="P96" i="6" s="1"/>
  <c r="H201" i="6" s="1"/>
  <c r="O44" i="6"/>
  <c r="P44" i="6" s="1"/>
  <c r="F201" i="6" s="1"/>
  <c r="AE124" i="6"/>
  <c r="O18" i="6"/>
  <c r="P18" i="6" s="1"/>
  <c r="E201" i="6" s="1"/>
  <c r="O70" i="6"/>
  <c r="P70" i="6" s="1"/>
  <c r="G201" i="6" s="1"/>
  <c r="J322" i="4"/>
  <c r="N101" i="4"/>
  <c r="K13" i="17"/>
  <c r="K26" i="17" s="1"/>
  <c r="AB208" i="14"/>
  <c r="P166" i="4"/>
  <c r="I187" i="4"/>
  <c r="Y193" i="6"/>
  <c r="H8" i="5"/>
  <c r="N100" i="6"/>
  <c r="AB132" i="6"/>
  <c r="AB195" i="6"/>
  <c r="G216" i="6"/>
  <c r="I10" i="5"/>
  <c r="I31" i="9"/>
  <c r="X68" i="9"/>
  <c r="CS53" i="9" s="1"/>
  <c r="N102" i="4"/>
  <c r="M13" i="17"/>
  <c r="M26" i="17" s="1"/>
  <c r="AD208" i="14"/>
  <c r="Z206" i="14"/>
  <c r="I25" i="17" s="1"/>
  <c r="Z204" i="14"/>
  <c r="I23" i="17" s="1"/>
  <c r="Z200" i="14"/>
  <c r="I19" i="17" s="1"/>
  <c r="Z202" i="14"/>
  <c r="I21" i="17" s="1"/>
  <c r="Z201" i="14"/>
  <c r="I20" i="17" s="1"/>
  <c r="Z203" i="14"/>
  <c r="I22" i="17" s="1"/>
  <c r="Z194" i="14"/>
  <c r="Z205" i="14"/>
  <c r="I24" i="17" s="1"/>
  <c r="D244" i="6"/>
  <c r="W202" i="6"/>
  <c r="AM245" i="4"/>
  <c r="X52" i="5"/>
  <c r="CS60" i="9" s="1"/>
  <c r="CS81" i="9" s="1"/>
  <c r="AQ9" i="17" s="1"/>
  <c r="AM31" i="17" s="1"/>
  <c r="X52" i="9"/>
  <c r="CS37" i="9" s="1"/>
  <c r="AN29" i="10"/>
  <c r="H9" i="9"/>
  <c r="H31" i="9" s="1"/>
  <c r="AG28" i="2"/>
  <c r="AG197" i="2" s="1"/>
  <c r="AG28" i="1"/>
  <c r="X53" i="5"/>
  <c r="CS61" i="9" s="1"/>
  <c r="CS82" i="9" s="1"/>
  <c r="AQ10" i="17" s="1"/>
  <c r="AM32" i="17" s="1"/>
  <c r="AM246" i="4"/>
  <c r="X53" i="9"/>
  <c r="CS38" i="9" s="1"/>
  <c r="E266" i="6"/>
  <c r="G18" i="5"/>
  <c r="O25" i="6"/>
  <c r="P25" i="6" s="1"/>
  <c r="E208" i="6" s="1"/>
  <c r="AE131" i="6"/>
  <c r="O51" i="6"/>
  <c r="P51" i="6" s="1"/>
  <c r="F208" i="6" s="1"/>
  <c r="O103" i="6"/>
  <c r="P103" i="6" s="1"/>
  <c r="H208" i="6" s="1"/>
  <c r="O77" i="6"/>
  <c r="P77" i="6" s="1"/>
  <c r="G208" i="6" s="1"/>
  <c r="AB194" i="6"/>
  <c r="I9" i="5"/>
  <c r="I22" i="5"/>
  <c r="AB207" i="6"/>
  <c r="G290" i="6"/>
  <c r="J344" i="4"/>
  <c r="I37" i="9"/>
  <c r="Y194" i="6"/>
  <c r="H9" i="5"/>
  <c r="AE207" i="6"/>
  <c r="H290" i="6"/>
  <c r="J22" i="5"/>
  <c r="E268" i="6"/>
  <c r="G20" i="5"/>
  <c r="T97" i="5"/>
  <c r="CO67" i="9"/>
  <c r="CO88" i="9" s="1"/>
  <c r="AM16" i="17" s="1"/>
  <c r="AI38" i="17" s="1"/>
  <c r="AI76" i="17" s="1"/>
  <c r="AP246" i="4"/>
  <c r="AB53" i="5"/>
  <c r="CW61" i="9" s="1"/>
  <c r="CW82" i="9" s="1"/>
  <c r="AU10" i="17" s="1"/>
  <c r="AQ32" i="17" s="1"/>
  <c r="AB53" i="9"/>
  <c r="CW38" i="9" s="1"/>
  <c r="AG41" i="3"/>
  <c r="G19" i="9"/>
  <c r="H41" i="9" s="1"/>
  <c r="AM261" i="4"/>
  <c r="G13" i="17"/>
  <c r="G26" i="17" s="1"/>
  <c r="X208" i="14"/>
  <c r="N115" i="6"/>
  <c r="AA115" i="6"/>
  <c r="V135" i="6"/>
  <c r="P86" i="4"/>
  <c r="I107" i="4"/>
  <c r="P98" i="6"/>
  <c r="H203" i="6" s="1"/>
  <c r="Y205" i="6"/>
  <c r="F268" i="6"/>
  <c r="H20" i="5"/>
  <c r="D200" i="4"/>
  <c r="N197" i="4" s="1"/>
  <c r="L13" i="17"/>
  <c r="L26" i="17" s="1"/>
  <c r="AC208" i="14"/>
  <c r="J269" i="6"/>
  <c r="AK206" i="6"/>
  <c r="O52" i="4"/>
  <c r="T149" i="5"/>
  <c r="CO75" i="9"/>
  <c r="CO96" i="9" s="1"/>
  <c r="AM24" i="17" s="1"/>
  <c r="AI46" i="17" s="1"/>
  <c r="AI128" i="17" s="1"/>
  <c r="AE68" i="2"/>
  <c r="I40" i="9"/>
  <c r="E1" i="1"/>
  <c r="Y1" i="1"/>
  <c r="Y104" i="1" s="1"/>
  <c r="AE194" i="6"/>
  <c r="J9" i="5"/>
  <c r="Y207" i="6"/>
  <c r="H22" i="5"/>
  <c r="F290" i="6"/>
  <c r="CO44" i="9"/>
  <c r="T97" i="9"/>
  <c r="AG38" i="1"/>
  <c r="AN35" i="10"/>
  <c r="AN167" i="10" s="1"/>
  <c r="AN197" i="10" s="1"/>
  <c r="W17" i="16" s="1"/>
  <c r="H15" i="9"/>
  <c r="H37" i="9" s="1"/>
  <c r="AG34" i="2"/>
  <c r="AG203" i="2" s="1"/>
  <c r="AG34" i="1"/>
  <c r="AG164" i="1" s="1"/>
  <c r="AF50" i="2"/>
  <c r="AA71" i="2"/>
  <c r="W160" i="1"/>
  <c r="W31" i="1"/>
  <c r="E290" i="6"/>
  <c r="G22" i="5"/>
  <c r="AJ76" i="9"/>
  <c r="DE41" i="9"/>
  <c r="AJ100" i="9"/>
  <c r="DE47" i="9"/>
  <c r="AJ119" i="9"/>
  <c r="DE49" i="9"/>
  <c r="AJ150" i="9"/>
  <c r="DE53" i="9"/>
  <c r="AJ77" i="9"/>
  <c r="DE42" i="9"/>
  <c r="AJ99" i="9"/>
  <c r="DE46" i="9"/>
  <c r="AJ120" i="9"/>
  <c r="DE50" i="9"/>
  <c r="AJ75" i="9"/>
  <c r="DE40" i="9"/>
  <c r="AJ97" i="9"/>
  <c r="DE44" i="9"/>
  <c r="AJ118" i="9"/>
  <c r="DE48" i="9"/>
  <c r="AJ149" i="9"/>
  <c r="DE52" i="9"/>
  <c r="K47" i="9"/>
  <c r="J74" i="9"/>
  <c r="J50" i="9"/>
  <c r="CE35" i="9" s="1"/>
  <c r="CE79" i="9" s="1"/>
  <c r="I96" i="9"/>
  <c r="I148" i="9"/>
  <c r="I117" i="9"/>
  <c r="BJ41" i="9"/>
  <c r="BJ86" i="9"/>
  <c r="AG123" i="2"/>
  <c r="AG206" i="2"/>
  <c r="AG121" i="1"/>
  <c r="AG136" i="1"/>
  <c r="AG138" i="1" s="1"/>
  <c r="AG139" i="1" s="1"/>
  <c r="AG166" i="1" s="1"/>
  <c r="P72" i="4"/>
  <c r="T121" i="5"/>
  <c r="CO74" i="9"/>
  <c r="CO95" i="9" s="1"/>
  <c r="AM23" i="17" s="1"/>
  <c r="AI45" i="17" s="1"/>
  <c r="AI100" i="17" s="1"/>
  <c r="CS43" i="9"/>
  <c r="CS87" i="9" s="1"/>
  <c r="AQ15" i="17" s="1"/>
  <c r="AM37" i="17" s="1"/>
  <c r="AM57" i="17" s="1"/>
  <c r="X78" i="9"/>
  <c r="AB150" i="9"/>
  <c r="CW53" i="9"/>
  <c r="AB120" i="9"/>
  <c r="CW50" i="9"/>
  <c r="DA73" i="9"/>
  <c r="DA94" i="9" s="1"/>
  <c r="AY22" i="17" s="1"/>
  <c r="AU44" i="17" s="1"/>
  <c r="AU99" i="17" s="1"/>
  <c r="CW73" i="9"/>
  <c r="CW94" i="9" s="1"/>
  <c r="AU22" i="17" s="1"/>
  <c r="AQ44" i="17" s="1"/>
  <c r="AQ99" i="17" s="1"/>
  <c r="AB120" i="5"/>
  <c r="CO51" i="9"/>
  <c r="T121" i="9"/>
  <c r="X78" i="5"/>
  <c r="CS66" i="9"/>
  <c r="CW76" i="9"/>
  <c r="CW97" i="9" s="1"/>
  <c r="AU25" i="17" s="1"/>
  <c r="AQ47" i="17" s="1"/>
  <c r="AQ129" i="17" s="1"/>
  <c r="AB150" i="5"/>
  <c r="X77" i="5"/>
  <c r="CS65" i="9"/>
  <c r="DA74" i="9"/>
  <c r="DA95" i="9" s="1"/>
  <c r="AY23" i="17" s="1"/>
  <c r="AU45" i="17" s="1"/>
  <c r="AU100" i="17" s="1"/>
  <c r="CW51" i="9"/>
  <c r="AB121" i="9"/>
  <c r="P22" i="4"/>
  <c r="P21" i="4"/>
  <c r="I29" i="4"/>
  <c r="P49" i="4"/>
  <c r="R49" i="4" s="1"/>
  <c r="F259" i="4" s="1"/>
  <c r="P124" i="4"/>
  <c r="I254" i="4" s="1"/>
  <c r="AC124" i="4"/>
  <c r="AF124" i="4" s="1"/>
  <c r="P99" i="4"/>
  <c r="P100" i="4"/>
  <c r="P98" i="4"/>
  <c r="M67" i="5"/>
  <c r="G343" i="4"/>
  <c r="AD260" i="4"/>
  <c r="M67" i="9"/>
  <c r="CO37" i="9"/>
  <c r="P46" i="4"/>
  <c r="P47" i="4"/>
  <c r="X135" i="4"/>
  <c r="P116" i="4"/>
  <c r="AC116" i="4"/>
  <c r="P126" i="4"/>
  <c r="I256" i="4" s="1"/>
  <c r="AC126" i="4"/>
  <c r="AF126" i="4" s="1"/>
  <c r="P144" i="4"/>
  <c r="I161" i="4"/>
  <c r="CS41" i="9"/>
  <c r="X76" i="9"/>
  <c r="H343" i="4"/>
  <c r="P67" i="5"/>
  <c r="AG260" i="4"/>
  <c r="P67" i="9"/>
  <c r="P23" i="4"/>
  <c r="R23" i="4" s="1"/>
  <c r="E259" i="4" s="1"/>
  <c r="R24" i="4"/>
  <c r="E260" i="4" s="1"/>
  <c r="CO60" i="9"/>
  <c r="CO81" i="9" s="1"/>
  <c r="AM9" i="17" s="1"/>
  <c r="AI31" i="17" s="1"/>
  <c r="Q21" i="4"/>
  <c r="Q73" i="4"/>
  <c r="R73" i="4" s="1"/>
  <c r="G257" i="4" s="1"/>
  <c r="AG127" i="4"/>
  <c r="Q47" i="4"/>
  <c r="Q99" i="4"/>
  <c r="AF149" i="9"/>
  <c r="DA52" i="9"/>
  <c r="P62" i="4"/>
  <c r="I81" i="4"/>
  <c r="P71" i="4"/>
  <c r="P75" i="4"/>
  <c r="X98" i="5"/>
  <c r="CS68" i="9"/>
  <c r="CS89" i="9" s="1"/>
  <c r="CS48" i="9"/>
  <c r="X118" i="9"/>
  <c r="X119" i="5"/>
  <c r="CS72" i="9"/>
  <c r="CS93" i="9" s="1"/>
  <c r="AQ21" i="17" s="1"/>
  <c r="AM43" i="17" s="1"/>
  <c r="AM98" i="17" s="1"/>
  <c r="X150" i="5"/>
  <c r="CS76" i="9"/>
  <c r="CS97" i="9" s="1"/>
  <c r="AQ25" i="17" s="1"/>
  <c r="AM47" i="17" s="1"/>
  <c r="AM129" i="17" s="1"/>
  <c r="CW40" i="9"/>
  <c r="AB75" i="9"/>
  <c r="AB100" i="5"/>
  <c r="CW70" i="9"/>
  <c r="CW91" i="9" s="1"/>
  <c r="AU19" i="17" s="1"/>
  <c r="AQ41" i="17" s="1"/>
  <c r="AQ79" i="17" s="1"/>
  <c r="AB54" i="5"/>
  <c r="AP247" i="4"/>
  <c r="AB54" i="9"/>
  <c r="CW49" i="9"/>
  <c r="AB119" i="9"/>
  <c r="AB119" i="5"/>
  <c r="DA72" i="9"/>
  <c r="DA93" i="9" s="1"/>
  <c r="AY21" i="17" s="1"/>
  <c r="AU43" i="17" s="1"/>
  <c r="AU98" i="17" s="1"/>
  <c r="CW72" i="9"/>
  <c r="CW93" i="9" s="1"/>
  <c r="AU21" i="17" s="1"/>
  <c r="AQ43" i="17" s="1"/>
  <c r="AQ98" i="17" s="1"/>
  <c r="CW46" i="9"/>
  <c r="AB99" i="9"/>
  <c r="CW69" i="9"/>
  <c r="CW90" i="9" s="1"/>
  <c r="AU18" i="17" s="1"/>
  <c r="AQ40" i="17" s="1"/>
  <c r="AQ78" i="17" s="1"/>
  <c r="AB99" i="5"/>
  <c r="CW45" i="9"/>
  <c r="AB98" i="9"/>
  <c r="CW42" i="9"/>
  <c r="CW86" i="9" s="1"/>
  <c r="AU14" i="17" s="1"/>
  <c r="AQ36" i="17" s="1"/>
  <c r="AQ56" i="17" s="1"/>
  <c r="AB77" i="9"/>
  <c r="CW65" i="9"/>
  <c r="AB77" i="5"/>
  <c r="CW41" i="9"/>
  <c r="AB76" i="9"/>
  <c r="AB76" i="5"/>
  <c r="CW64" i="9"/>
  <c r="CW85" i="9" s="1"/>
  <c r="AU13" i="17" s="1"/>
  <c r="AQ35" i="17" s="1"/>
  <c r="AQ55" i="17" s="1"/>
  <c r="T76" i="9"/>
  <c r="CO41" i="9"/>
  <c r="CO64" i="9"/>
  <c r="CO85" i="9" s="1"/>
  <c r="T76" i="5"/>
  <c r="AD252" i="4"/>
  <c r="M59" i="9"/>
  <c r="M59" i="5"/>
  <c r="G294" i="4"/>
  <c r="H294" i="4"/>
  <c r="P59" i="5"/>
  <c r="AG252" i="4"/>
  <c r="P59" i="9"/>
  <c r="AD132" i="4"/>
  <c r="P36" i="4"/>
  <c r="I55" i="4"/>
  <c r="AH148" i="4"/>
  <c r="CS45" i="9"/>
  <c r="X98" i="9"/>
  <c r="X118" i="5"/>
  <c r="CS71" i="9"/>
  <c r="CS92" i="9" s="1"/>
  <c r="AQ20" i="17" s="1"/>
  <c r="AM42" i="17" s="1"/>
  <c r="AM97" i="17" s="1"/>
  <c r="CS49" i="9"/>
  <c r="X119" i="9"/>
  <c r="X120" i="5"/>
  <c r="CS73" i="9"/>
  <c r="CS94" i="9" s="1"/>
  <c r="AQ22" i="17" s="1"/>
  <c r="AM44" i="17" s="1"/>
  <c r="AM99" i="17" s="1"/>
  <c r="CW75" i="9"/>
  <c r="CW96" i="9" s="1"/>
  <c r="AU24" i="17" s="1"/>
  <c r="AQ46" i="17" s="1"/>
  <c r="AQ128" i="17" s="1"/>
  <c r="AB149" i="5"/>
  <c r="CS69" i="9"/>
  <c r="CS90" i="9" s="1"/>
  <c r="AQ18" i="17" s="1"/>
  <c r="AM40" i="17" s="1"/>
  <c r="AM78" i="17" s="1"/>
  <c r="X99" i="5"/>
  <c r="CS46" i="9"/>
  <c r="X121" i="5"/>
  <c r="CS74" i="9"/>
  <c r="CS95" i="9" s="1"/>
  <c r="AQ23" i="17" s="1"/>
  <c r="AM45" i="17" s="1"/>
  <c r="AM100" i="17" s="1"/>
  <c r="CS51" i="9"/>
  <c r="X121" i="9"/>
  <c r="CW63" i="9"/>
  <c r="CW84" i="9" s="1"/>
  <c r="AU12" i="17" s="1"/>
  <c r="AQ34" i="17" s="1"/>
  <c r="AQ54" i="17" s="1"/>
  <c r="AB75" i="5"/>
  <c r="CW48" i="9"/>
  <c r="AB118" i="9"/>
  <c r="AB118" i="5"/>
  <c r="DA71" i="9"/>
  <c r="DA92" i="9" s="1"/>
  <c r="AY20" i="17" s="1"/>
  <c r="AU42" i="17" s="1"/>
  <c r="AU97" i="17" s="1"/>
  <c r="CW71" i="9"/>
  <c r="CW92" i="9" s="1"/>
  <c r="AU20" i="17" s="1"/>
  <c r="AQ42" i="17" s="1"/>
  <c r="AQ97" i="17" s="1"/>
  <c r="CW47" i="9"/>
  <c r="AB100" i="9"/>
  <c r="CW44" i="9"/>
  <c r="AB97" i="9"/>
  <c r="AB97" i="5"/>
  <c r="CW67" i="9"/>
  <c r="CW88" i="9" s="1"/>
  <c r="AU16" i="17" s="1"/>
  <c r="AQ38" i="17" s="1"/>
  <c r="AQ76" i="17" s="1"/>
  <c r="AB78" i="9"/>
  <c r="CW43" i="9"/>
  <c r="CW87" i="9" s="1"/>
  <c r="AU15" i="17" s="1"/>
  <c r="AQ37" i="17" s="1"/>
  <c r="AQ57" i="17" s="1"/>
  <c r="CW66" i="9"/>
  <c r="AB78" i="5"/>
  <c r="CW68" i="9"/>
  <c r="CW89" i="9" s="1"/>
  <c r="AU17" i="17" s="1"/>
  <c r="AQ39" i="17" s="1"/>
  <c r="AQ77" i="17" s="1"/>
  <c r="AB98" i="5"/>
  <c r="AM260" i="4"/>
  <c r="X67" i="9"/>
  <c r="J343" i="4"/>
  <c r="X67" i="5"/>
  <c r="AD251" i="4"/>
  <c r="M58" i="5"/>
  <c r="G272" i="4"/>
  <c r="M58" i="9"/>
  <c r="E294" i="4"/>
  <c r="G59" i="5"/>
  <c r="G59" i="9"/>
  <c r="F294" i="4"/>
  <c r="J59" i="5"/>
  <c r="AA252" i="4"/>
  <c r="J59" i="9"/>
  <c r="AF119" i="9"/>
  <c r="DA49" i="9"/>
  <c r="AF150" i="9"/>
  <c r="DA53" i="9"/>
  <c r="DA44" i="9"/>
  <c r="AF97" i="9"/>
  <c r="AF120" i="9"/>
  <c r="DA50" i="9"/>
  <c r="AN47" i="10"/>
  <c r="DA38" i="9"/>
  <c r="AN45" i="10"/>
  <c r="AN46" i="10" s="1"/>
  <c r="AM39" i="10"/>
  <c r="AM45" i="10" s="1"/>
  <c r="AM46" i="10" s="1"/>
  <c r="AF38" i="1"/>
  <c r="AF110" i="1" s="1"/>
  <c r="AF168" i="1" s="1"/>
  <c r="AF38" i="2"/>
  <c r="AF112" i="2" s="1"/>
  <c r="AF207" i="2" s="1"/>
  <c r="AO45" i="10"/>
  <c r="AO46" i="10" s="1"/>
  <c r="AI42" i="1"/>
  <c r="AH111" i="1"/>
  <c r="AH172" i="1" s="1"/>
  <c r="AP43" i="10"/>
  <c r="AO114" i="10"/>
  <c r="AO175" i="10" s="1"/>
  <c r="AO205" i="10" s="1"/>
  <c r="X25" i="16" s="1"/>
  <c r="AF111" i="1"/>
  <c r="AF172" i="1" s="1"/>
  <c r="AH161" i="1"/>
  <c r="AI31" i="1"/>
  <c r="AI33" i="1"/>
  <c r="AH163" i="1"/>
  <c r="AO166" i="10"/>
  <c r="AO196" i="10" s="1"/>
  <c r="X16" i="16" s="1"/>
  <c r="AP34" i="10"/>
  <c r="AH123" i="2"/>
  <c r="AH206" i="2"/>
  <c r="AG156" i="1"/>
  <c r="AF156" i="1"/>
  <c r="AH116" i="1"/>
  <c r="AH166" i="1" s="1"/>
  <c r="AI36" i="1"/>
  <c r="AH46" i="1"/>
  <c r="AH162" i="1"/>
  <c r="AI32" i="1"/>
  <c r="AO165" i="10"/>
  <c r="AO195" i="10" s="1"/>
  <c r="X15" i="16" s="1"/>
  <c r="AP33" i="10"/>
  <c r="AI26" i="1"/>
  <c r="AH156" i="1"/>
  <c r="AH44" i="1"/>
  <c r="AH45" i="1" s="1"/>
  <c r="AO159" i="10"/>
  <c r="AO189" i="10" s="1"/>
  <c r="X9" i="16" s="1"/>
  <c r="AP27" i="10"/>
  <c r="AM139" i="10"/>
  <c r="AM141" i="10" s="1"/>
  <c r="AM142" i="10" s="1"/>
  <c r="AI139" i="10"/>
  <c r="AI141" i="10" s="1"/>
  <c r="AI142" i="10" s="1"/>
  <c r="AE139" i="10"/>
  <c r="AJ139" i="10"/>
  <c r="AJ141" i="10" s="1"/>
  <c r="AJ142" i="10" s="1"/>
  <c r="AL139" i="10"/>
  <c r="AL141" i="10" s="1"/>
  <c r="AL142" i="10" s="1"/>
  <c r="AK139" i="10"/>
  <c r="AK141" i="10" s="1"/>
  <c r="AK142" i="10" s="1"/>
  <c r="AG139" i="10"/>
  <c r="AG141" i="10" s="1"/>
  <c r="AG142" i="10" s="1"/>
  <c r="AN139" i="10"/>
  <c r="AN141" i="10" s="1"/>
  <c r="AN142" i="10" s="1"/>
  <c r="AN170" i="10" s="1"/>
  <c r="AN200" i="10" s="1"/>
  <c r="W20" i="16" s="1"/>
  <c r="AF139" i="10"/>
  <c r="AF141" i="10" s="1"/>
  <c r="AF142" i="10" s="1"/>
  <c r="AH139" i="10"/>
  <c r="AH141" i="10" s="1"/>
  <c r="AH142" i="10" s="1"/>
  <c r="AF113" i="2"/>
  <c r="AF211" i="2" s="1"/>
  <c r="AF45" i="2"/>
  <c r="AI29" i="1"/>
  <c r="AH159" i="1"/>
  <c r="AO162" i="10"/>
  <c r="AO192" i="10" s="1"/>
  <c r="X12" i="16" s="1"/>
  <c r="AP30" i="10"/>
  <c r="AO164" i="10"/>
  <c r="AO194" i="10" s="1"/>
  <c r="X14" i="16" s="1"/>
  <c r="AP32" i="10"/>
  <c r="AH44" i="2"/>
  <c r="AH194" i="2"/>
  <c r="AF195" i="2"/>
  <c r="AF44" i="2"/>
  <c r="AH118" i="2"/>
  <c r="AH205" i="2" s="1"/>
  <c r="AH45" i="2"/>
  <c r="AO119" i="10"/>
  <c r="AO169" i="10" s="1"/>
  <c r="AO199" i="10" s="1"/>
  <c r="X19" i="16" s="1"/>
  <c r="AP37" i="10"/>
  <c r="AO47" i="10"/>
  <c r="AH157" i="1"/>
  <c r="AI27" i="1"/>
  <c r="AO160" i="10"/>
  <c r="AO190" i="10" s="1"/>
  <c r="X10" i="16" s="1"/>
  <c r="AP28" i="10"/>
  <c r="AG110" i="1"/>
  <c r="AG168" i="1" s="1"/>
  <c r="AG46" i="1"/>
  <c r="AE138" i="10"/>
  <c r="W162" i="10"/>
  <c r="W31" i="10"/>
  <c r="AH2" i="10"/>
  <c r="AH107" i="10" s="1"/>
  <c r="G2" i="10"/>
  <c r="AG169" i="10"/>
  <c r="AG199" i="10" s="1"/>
  <c r="P19" i="16" s="1"/>
  <c r="AG170" i="10"/>
  <c r="AG200" i="10" s="1"/>
  <c r="P20" i="16" s="1"/>
  <c r="AF78" i="9"/>
  <c r="DA43" i="9"/>
  <c r="DA87" i="9" s="1"/>
  <c r="AY15" i="17" s="1"/>
  <c r="AU37" i="17" s="1"/>
  <c r="AU57" i="17" s="1"/>
  <c r="AF99" i="9"/>
  <c r="DA46" i="9"/>
  <c r="AF100" i="9"/>
  <c r="DA47" i="9"/>
  <c r="AF118" i="9"/>
  <c r="DA48" i="9"/>
  <c r="DA51" i="9"/>
  <c r="AF121" i="9"/>
  <c r="AF76" i="9"/>
  <c r="DA41" i="9"/>
  <c r="CO80" i="9" l="1"/>
  <c r="AM8" i="17" s="1"/>
  <c r="AI30" i="17" s="1"/>
  <c r="O97" i="6"/>
  <c r="O71" i="6"/>
  <c r="O19" i="6"/>
  <c r="P19" i="6" s="1"/>
  <c r="E202" i="6" s="1"/>
  <c r="O45" i="6"/>
  <c r="P45" i="6" s="1"/>
  <c r="F202" i="6" s="1"/>
  <c r="AE125" i="6"/>
  <c r="O40" i="6"/>
  <c r="P40" i="6" s="1"/>
  <c r="F197" i="6" s="1"/>
  <c r="O14" i="6"/>
  <c r="P14" i="6" s="1"/>
  <c r="E197" i="6" s="1"/>
  <c r="O92" i="6"/>
  <c r="P92" i="6" s="1"/>
  <c r="H197" i="6" s="1"/>
  <c r="AE120" i="6"/>
  <c r="O66" i="6"/>
  <c r="P66" i="6" s="1"/>
  <c r="G197" i="6" s="1"/>
  <c r="AF75" i="2"/>
  <c r="AA95" i="2"/>
  <c r="P72" i="6"/>
  <c r="G203" i="6" s="1"/>
  <c r="H13" i="5"/>
  <c r="F219" i="6"/>
  <c r="Y198" i="6"/>
  <c r="AE141" i="10"/>
  <c r="AE142" i="10" s="1"/>
  <c r="G13" i="5"/>
  <c r="E219" i="6"/>
  <c r="G21" i="5"/>
  <c r="E269" i="6"/>
  <c r="AD114" i="6"/>
  <c r="O69" i="6"/>
  <c r="P69" i="6" s="1"/>
  <c r="G200" i="6" s="1"/>
  <c r="O43" i="6"/>
  <c r="P43" i="6" s="1"/>
  <c r="F200" i="6" s="1"/>
  <c r="AE123" i="6"/>
  <c r="O95" i="6"/>
  <c r="P95" i="6" s="1"/>
  <c r="H200" i="6" s="1"/>
  <c r="O17" i="6"/>
  <c r="P17" i="6" s="1"/>
  <c r="E200" i="6" s="1"/>
  <c r="I13" i="5"/>
  <c r="AB198" i="6"/>
  <c r="G219" i="6"/>
  <c r="O91" i="6"/>
  <c r="P91" i="6" s="1"/>
  <c r="H196" i="6" s="1"/>
  <c r="O65" i="6"/>
  <c r="P65" i="6" s="1"/>
  <c r="G196" i="6" s="1"/>
  <c r="AE119" i="6"/>
  <c r="O13" i="6"/>
  <c r="P13" i="6" s="1"/>
  <c r="E196" i="6" s="1"/>
  <c r="O39" i="6"/>
  <c r="P39" i="6" s="1"/>
  <c r="F196" i="6" s="1"/>
  <c r="H18" i="5"/>
  <c r="Y203" i="6"/>
  <c r="F266" i="6"/>
  <c r="P74" i="6"/>
  <c r="G205" i="6" s="1"/>
  <c r="L47" i="5"/>
  <c r="K50" i="5"/>
  <c r="CF58" i="9" s="1"/>
  <c r="K74" i="5"/>
  <c r="AE198" i="6"/>
  <c r="J13" i="5"/>
  <c r="H219" i="6"/>
  <c r="AE193" i="6"/>
  <c r="J8" i="5"/>
  <c r="W198" i="2"/>
  <c r="W30" i="2"/>
  <c r="X77" i="9"/>
  <c r="P75" i="6"/>
  <c r="G206" i="6" s="1"/>
  <c r="J148" i="5"/>
  <c r="J117" i="5"/>
  <c r="J96" i="5"/>
  <c r="AE122" i="6"/>
  <c r="O42" i="6"/>
  <c r="P42" i="6" s="1"/>
  <c r="F199" i="6" s="1"/>
  <c r="O68" i="6"/>
  <c r="P68" i="6" s="1"/>
  <c r="G199" i="6" s="1"/>
  <c r="O16" i="6"/>
  <c r="P16" i="6" s="1"/>
  <c r="E199" i="6" s="1"/>
  <c r="O94" i="6"/>
  <c r="P94" i="6" s="1"/>
  <c r="H199" i="6" s="1"/>
  <c r="AB193" i="6"/>
  <c r="I8" i="5"/>
  <c r="X150" i="9"/>
  <c r="P52" i="4"/>
  <c r="J67" i="5"/>
  <c r="AA260" i="4"/>
  <c r="J67" i="9"/>
  <c r="J149" i="9" s="1"/>
  <c r="F343" i="4"/>
  <c r="AG120" i="4"/>
  <c r="Q66" i="4"/>
  <c r="R66" i="4" s="1"/>
  <c r="G250" i="4" s="1"/>
  <c r="M57" i="5" s="1"/>
  <c r="Q92" i="4"/>
  <c r="R92" i="4" s="1"/>
  <c r="H250" i="4" s="1"/>
  <c r="Q14" i="4"/>
  <c r="R14" i="4" s="1"/>
  <c r="E250" i="4" s="1"/>
  <c r="Q40" i="4"/>
  <c r="R40" i="4" s="1"/>
  <c r="F250" i="4" s="1"/>
  <c r="X99" i="9"/>
  <c r="Q13" i="4"/>
  <c r="R13" i="4" s="1"/>
  <c r="E249" i="4" s="1"/>
  <c r="G56" i="9" s="1"/>
  <c r="CB41" i="9" s="1"/>
  <c r="Q65" i="4"/>
  <c r="R65" i="4" s="1"/>
  <c r="G249" i="4" s="1"/>
  <c r="AD249" i="4" s="1"/>
  <c r="CW74" i="9"/>
  <c r="CW95" i="9" s="1"/>
  <c r="AU23" i="17" s="1"/>
  <c r="AQ45" i="17" s="1"/>
  <c r="AQ100" i="17" s="1"/>
  <c r="P56" i="9"/>
  <c r="P76" i="9" s="1"/>
  <c r="P56" i="5"/>
  <c r="H270" i="4"/>
  <c r="Q61" i="4"/>
  <c r="R61" i="4" s="1"/>
  <c r="G245" i="4" s="1"/>
  <c r="Q87" i="4"/>
  <c r="R87" i="4" s="1"/>
  <c r="H245" i="4" s="1"/>
  <c r="Q9" i="4"/>
  <c r="R9" i="4" s="1"/>
  <c r="E245" i="4" s="1"/>
  <c r="Q35" i="4"/>
  <c r="R35" i="4" s="1"/>
  <c r="F245" i="4" s="1"/>
  <c r="AG115" i="4"/>
  <c r="R101" i="4"/>
  <c r="H259" i="4" s="1"/>
  <c r="P66" i="9" s="1"/>
  <c r="Q39" i="4"/>
  <c r="R39" i="4" s="1"/>
  <c r="F249" i="4" s="1"/>
  <c r="AA249" i="4" s="1"/>
  <c r="AG119" i="4"/>
  <c r="Q43" i="4"/>
  <c r="R43" i="4" s="1"/>
  <c r="F253" i="4" s="1"/>
  <c r="Q95" i="4"/>
  <c r="R95" i="4" s="1"/>
  <c r="H253" i="4" s="1"/>
  <c r="Q17" i="4"/>
  <c r="R17" i="4" s="1"/>
  <c r="E253" i="4" s="1"/>
  <c r="Q69" i="4"/>
  <c r="R69" i="4" s="1"/>
  <c r="G253" i="4" s="1"/>
  <c r="AG123" i="4"/>
  <c r="H272" i="4"/>
  <c r="AB149" i="9"/>
  <c r="R75" i="4"/>
  <c r="G259" i="4" s="1"/>
  <c r="CW52" i="9"/>
  <c r="AG251" i="4"/>
  <c r="P58" i="9"/>
  <c r="X120" i="9"/>
  <c r="T60" i="9"/>
  <c r="T60" i="5"/>
  <c r="I295" i="4"/>
  <c r="AJ253" i="4"/>
  <c r="F272" i="4"/>
  <c r="AA251" i="4"/>
  <c r="J58" i="9"/>
  <c r="G58" i="5"/>
  <c r="CB66" i="9" s="1"/>
  <c r="Q63" i="4"/>
  <c r="R63" i="4" s="1"/>
  <c r="G247" i="4" s="1"/>
  <c r="AG117" i="4"/>
  <c r="Q37" i="4"/>
  <c r="R37" i="4" s="1"/>
  <c r="F247" i="4" s="1"/>
  <c r="Q89" i="4"/>
  <c r="R89" i="4" s="1"/>
  <c r="H247" i="4" s="1"/>
  <c r="Q11" i="4"/>
  <c r="R11" i="4" s="1"/>
  <c r="E247" i="4" s="1"/>
  <c r="G58" i="9"/>
  <c r="H58" i="9" s="1"/>
  <c r="AJ247" i="4"/>
  <c r="T54" i="9"/>
  <c r="CO39" i="9" s="1"/>
  <c r="T54" i="5"/>
  <c r="CO62" i="9" s="1"/>
  <c r="CO83" i="9" s="1"/>
  <c r="AM11" i="17" s="1"/>
  <c r="AI33" i="17" s="1"/>
  <c r="Q103" i="4"/>
  <c r="R103" i="4" s="1"/>
  <c r="H261" i="4" s="1"/>
  <c r="P68" i="5" s="1"/>
  <c r="AJ261" i="4"/>
  <c r="T68" i="5"/>
  <c r="T68" i="9"/>
  <c r="I344" i="4"/>
  <c r="Q25" i="4"/>
  <c r="R25" i="4" s="1"/>
  <c r="E261" i="4" s="1"/>
  <c r="I271" i="4"/>
  <c r="AJ250" i="4"/>
  <c r="T57" i="5"/>
  <c r="T57" i="9"/>
  <c r="Q77" i="4"/>
  <c r="R77" i="4" s="1"/>
  <c r="G261" i="4" s="1"/>
  <c r="G344" i="4" s="1"/>
  <c r="CS64" i="9"/>
  <c r="CS85" i="9" s="1"/>
  <c r="AQ13" i="17" s="1"/>
  <c r="AM35" i="17" s="1"/>
  <c r="AM55" i="17" s="1"/>
  <c r="Q51" i="4"/>
  <c r="R51" i="4" s="1"/>
  <c r="F261" i="4" s="1"/>
  <c r="F344" i="4" s="1"/>
  <c r="J56" i="5"/>
  <c r="AG114" i="4"/>
  <c r="Q8" i="4"/>
  <c r="R8" i="4" s="1"/>
  <c r="E244" i="4" s="1"/>
  <c r="Q34" i="4"/>
  <c r="R34" i="4" s="1"/>
  <c r="F244" i="4" s="1"/>
  <c r="Q60" i="4"/>
  <c r="R60" i="4" s="1"/>
  <c r="G244" i="4" s="1"/>
  <c r="Q86" i="4"/>
  <c r="R86" i="4" s="1"/>
  <c r="H244" i="4" s="1"/>
  <c r="AG244" i="4" s="1"/>
  <c r="Q48" i="4"/>
  <c r="R48" i="4" s="1"/>
  <c r="F258" i="4" s="1"/>
  <c r="F321" i="4" s="1"/>
  <c r="Q74" i="4"/>
  <c r="R74" i="4" s="1"/>
  <c r="G258" i="4" s="1"/>
  <c r="G321" i="4" s="1"/>
  <c r="Q22" i="4"/>
  <c r="R22" i="4" s="1"/>
  <c r="E258" i="4" s="1"/>
  <c r="Q100" i="4"/>
  <c r="R100" i="4" s="1"/>
  <c r="H258" i="4" s="1"/>
  <c r="P65" i="5" s="1"/>
  <c r="AG128" i="4"/>
  <c r="R21" i="4"/>
  <c r="E257" i="4" s="1"/>
  <c r="G64" i="9" s="1"/>
  <c r="T55" i="9"/>
  <c r="T55" i="5"/>
  <c r="I269" i="4"/>
  <c r="AJ248" i="4"/>
  <c r="Q64" i="4"/>
  <c r="R64" i="4" s="1"/>
  <c r="G248" i="4" s="1"/>
  <c r="Q12" i="4"/>
  <c r="R12" i="4" s="1"/>
  <c r="E248" i="4" s="1"/>
  <c r="AG118" i="4"/>
  <c r="Q90" i="4"/>
  <c r="R90" i="4" s="1"/>
  <c r="H248" i="4" s="1"/>
  <c r="Q38" i="4"/>
  <c r="R38" i="4" s="1"/>
  <c r="F248" i="4" s="1"/>
  <c r="J55" i="5" s="1"/>
  <c r="T65" i="5"/>
  <c r="AJ258" i="4"/>
  <c r="T65" i="9"/>
  <c r="I321" i="4"/>
  <c r="P104" i="4"/>
  <c r="R47" i="4"/>
  <c r="F257" i="4" s="1"/>
  <c r="J64" i="9" s="1"/>
  <c r="M52" i="9"/>
  <c r="X97" i="5"/>
  <c r="CS67" i="9"/>
  <c r="CS88" i="9" s="1"/>
  <c r="AQ16" i="17" s="1"/>
  <c r="AM38" i="17" s="1"/>
  <c r="AM76" i="17" s="1"/>
  <c r="W32" i="1"/>
  <c r="W161" i="1"/>
  <c r="I21" i="5"/>
  <c r="AB206" i="6"/>
  <c r="G269" i="6"/>
  <c r="E243" i="6"/>
  <c r="G16" i="5"/>
  <c r="I23" i="5"/>
  <c r="G291" i="6"/>
  <c r="AB208" i="6"/>
  <c r="AE166" i="1"/>
  <c r="AE167" i="1"/>
  <c r="AG158" i="1"/>
  <c r="AG144" i="1"/>
  <c r="AE203" i="6"/>
  <c r="H266" i="6"/>
  <c r="J18" i="5"/>
  <c r="AE208" i="6"/>
  <c r="H291" i="6"/>
  <c r="J23" i="5"/>
  <c r="AN147" i="10"/>
  <c r="AN161" i="10"/>
  <c r="AN191" i="10" s="1"/>
  <c r="W11" i="16" s="1"/>
  <c r="Y201" i="6"/>
  <c r="F243" i="6"/>
  <c r="H16" i="5"/>
  <c r="R76" i="6"/>
  <c r="P73" i="6"/>
  <c r="G204" i="6" s="1"/>
  <c r="AC166" i="1"/>
  <c r="AC167" i="1"/>
  <c r="AF68" i="2"/>
  <c r="W141" i="2"/>
  <c r="H23" i="5"/>
  <c r="Y208" i="6"/>
  <c r="F291" i="6"/>
  <c r="K244" i="4"/>
  <c r="P184" i="4"/>
  <c r="AE201" i="6"/>
  <c r="J16" i="5"/>
  <c r="H243" i="6"/>
  <c r="I41" i="9"/>
  <c r="F1" i="1"/>
  <c r="Z1" i="1"/>
  <c r="Z104" i="1" s="1"/>
  <c r="AG6" i="11"/>
  <c r="W7" i="1"/>
  <c r="Q71" i="4"/>
  <c r="R71" i="4" s="1"/>
  <c r="G255" i="4" s="1"/>
  <c r="G297" i="4" s="1"/>
  <c r="Q45" i="4"/>
  <c r="R45" i="4" s="1"/>
  <c r="F255" i="4" s="1"/>
  <c r="Q19" i="4"/>
  <c r="R19" i="4" s="1"/>
  <c r="E255" i="4" s="1"/>
  <c r="Q97" i="4"/>
  <c r="R97" i="4" s="1"/>
  <c r="H255" i="4" s="1"/>
  <c r="AJ255" i="4"/>
  <c r="T62" i="5"/>
  <c r="I297" i="4"/>
  <c r="T62" i="9"/>
  <c r="G23" i="5"/>
  <c r="E291" i="6"/>
  <c r="AD166" i="1"/>
  <c r="AD167" i="1"/>
  <c r="AF7" i="3"/>
  <c r="AF27" i="3"/>
  <c r="AB201" i="6"/>
  <c r="G243" i="6"/>
  <c r="I16" i="5"/>
  <c r="AD115" i="6"/>
  <c r="AA132" i="6"/>
  <c r="R100" i="6"/>
  <c r="N104" i="6"/>
  <c r="P97" i="6"/>
  <c r="H202" i="6" s="1"/>
  <c r="F1" i="2"/>
  <c r="Z1" i="2"/>
  <c r="Z106" i="2" s="1"/>
  <c r="AF166" i="1"/>
  <c r="AF167" i="1"/>
  <c r="AG44" i="1"/>
  <c r="AG45" i="1" s="1"/>
  <c r="AG125" i="4"/>
  <c r="I192" i="6"/>
  <c r="AH192" i="6" s="1"/>
  <c r="N132" i="6"/>
  <c r="I20" i="5"/>
  <c r="G268" i="6"/>
  <c r="AB205" i="6"/>
  <c r="R104" i="6"/>
  <c r="P101" i="6"/>
  <c r="H206" i="6" s="1"/>
  <c r="H267" i="6"/>
  <c r="J19" i="5"/>
  <c r="AE204" i="6"/>
  <c r="AA138" i="1"/>
  <c r="AA139" i="1" s="1"/>
  <c r="Z135" i="1"/>
  <c r="R74" i="6"/>
  <c r="R81" i="6" s="1"/>
  <c r="N78" i="6"/>
  <c r="P71" i="6"/>
  <c r="G202" i="6" s="1"/>
  <c r="R103" i="6"/>
  <c r="P100" i="6"/>
  <c r="H205" i="6" s="1"/>
  <c r="R99" i="4"/>
  <c r="H257" i="4" s="1"/>
  <c r="P64" i="5" s="1"/>
  <c r="I13" i="17"/>
  <c r="I26" i="17" s="1"/>
  <c r="Z208" i="14"/>
  <c r="CS44" i="9"/>
  <c r="X97" i="9"/>
  <c r="AB166" i="1"/>
  <c r="AB167" i="1"/>
  <c r="N184" i="6"/>
  <c r="K191" i="6"/>
  <c r="AN191" i="6" s="1"/>
  <c r="AJ121" i="9"/>
  <c r="DE51" i="9"/>
  <c r="AJ98" i="9"/>
  <c r="DE45" i="9"/>
  <c r="AJ78" i="9"/>
  <c r="DE43" i="9"/>
  <c r="P26" i="16"/>
  <c r="P27" i="16" s="1"/>
  <c r="K50" i="9"/>
  <c r="CF35" i="9" s="1"/>
  <c r="CF79" i="9" s="1"/>
  <c r="L47" i="9"/>
  <c r="K74" i="9"/>
  <c r="J117" i="9"/>
  <c r="J96" i="9"/>
  <c r="J148" i="9"/>
  <c r="H59" i="9"/>
  <c r="I59" i="9"/>
  <c r="BJ42" i="9"/>
  <c r="BJ87" i="9"/>
  <c r="X26" i="16"/>
  <c r="X27" i="16" s="1"/>
  <c r="AG167" i="1"/>
  <c r="AF150" i="5"/>
  <c r="DA76" i="9"/>
  <c r="DA97" i="9" s="1"/>
  <c r="AY25" i="17" s="1"/>
  <c r="AU47" i="17" s="1"/>
  <c r="AU129" i="17" s="1"/>
  <c r="CK41" i="9"/>
  <c r="P76" i="5"/>
  <c r="CK64" i="9"/>
  <c r="CK85" i="9" s="1"/>
  <c r="AI13" i="17" s="1"/>
  <c r="AE35" i="17" s="1"/>
  <c r="AE55" i="17" s="1"/>
  <c r="J76" i="5"/>
  <c r="CE64" i="9"/>
  <c r="CE85" i="9" s="1"/>
  <c r="AC13" i="17" s="1"/>
  <c r="Y35" i="17" s="1"/>
  <c r="Y55" i="17" s="1"/>
  <c r="G66" i="5"/>
  <c r="E322" i="4"/>
  <c r="G66" i="9"/>
  <c r="J66" i="9"/>
  <c r="F322" i="4"/>
  <c r="J66" i="5"/>
  <c r="AA259" i="4"/>
  <c r="P149" i="9"/>
  <c r="CK52" i="9"/>
  <c r="P149" i="5"/>
  <c r="CK75" i="9"/>
  <c r="CK96" i="9" s="1"/>
  <c r="AI24" i="17" s="1"/>
  <c r="AE46" i="17" s="1"/>
  <c r="AE128" i="17" s="1"/>
  <c r="Q98" i="4"/>
  <c r="R98" i="4" s="1"/>
  <c r="H256" i="4" s="1"/>
  <c r="Q72" i="4"/>
  <c r="R72" i="4" s="1"/>
  <c r="G256" i="4" s="1"/>
  <c r="Q46" i="4"/>
  <c r="R46" i="4" s="1"/>
  <c r="F256" i="4" s="1"/>
  <c r="Q20" i="4"/>
  <c r="R20" i="4" s="1"/>
  <c r="E256" i="4" s="1"/>
  <c r="AF116" i="4"/>
  <c r="AC132" i="4"/>
  <c r="M149" i="9"/>
  <c r="CH52" i="9"/>
  <c r="T61" i="9"/>
  <c r="AJ254" i="4"/>
  <c r="I296" i="4"/>
  <c r="T61" i="5"/>
  <c r="E271" i="4"/>
  <c r="G57" i="9"/>
  <c r="G57" i="5"/>
  <c r="F271" i="4"/>
  <c r="J57" i="9"/>
  <c r="AA250" i="4"/>
  <c r="J57" i="5"/>
  <c r="CE75" i="9"/>
  <c r="CE96" i="9" s="1"/>
  <c r="AC24" i="17" s="1"/>
  <c r="Y46" i="17" s="1"/>
  <c r="Y128" i="17" s="1"/>
  <c r="J149" i="5"/>
  <c r="E343" i="4"/>
  <c r="G67" i="5"/>
  <c r="G67" i="9"/>
  <c r="J248" i="4"/>
  <c r="P158" i="4"/>
  <c r="I319" i="4"/>
  <c r="AJ256" i="4"/>
  <c r="T63" i="5"/>
  <c r="T63" i="9"/>
  <c r="I246" i="4"/>
  <c r="P132" i="4"/>
  <c r="CH75" i="9"/>
  <c r="CH96" i="9" s="1"/>
  <c r="AF24" i="17" s="1"/>
  <c r="AB46" i="17" s="1"/>
  <c r="AB128" i="17" s="1"/>
  <c r="M149" i="5"/>
  <c r="Q70" i="4"/>
  <c r="R70" i="4" s="1"/>
  <c r="G254" i="4" s="1"/>
  <c r="Q44" i="4"/>
  <c r="R44" i="4" s="1"/>
  <c r="F254" i="4" s="1"/>
  <c r="Q18" i="4"/>
  <c r="R18" i="4" s="1"/>
  <c r="E254" i="4" s="1"/>
  <c r="AG124" i="4"/>
  <c r="Q96" i="4"/>
  <c r="R96" i="4" s="1"/>
  <c r="H254" i="4" s="1"/>
  <c r="P26" i="4"/>
  <c r="AG126" i="4"/>
  <c r="H271" i="4"/>
  <c r="P57" i="9"/>
  <c r="AG250" i="4"/>
  <c r="P57" i="5"/>
  <c r="DA40" i="9"/>
  <c r="AF75" i="9"/>
  <c r="J97" i="9"/>
  <c r="CE44" i="9"/>
  <c r="J97" i="5"/>
  <c r="CE67" i="9"/>
  <c r="CE88" i="9" s="1"/>
  <c r="AC16" i="17" s="1"/>
  <c r="Y38" i="17" s="1"/>
  <c r="Y76" i="17" s="1"/>
  <c r="CB44" i="9"/>
  <c r="G97" i="9"/>
  <c r="P78" i="5"/>
  <c r="CK66" i="9"/>
  <c r="DA68" i="9"/>
  <c r="DA89" i="9" s="1"/>
  <c r="AY17" i="17" s="1"/>
  <c r="AU39" i="17" s="1"/>
  <c r="AU77" i="17" s="1"/>
  <c r="AF98" i="5"/>
  <c r="DA63" i="9"/>
  <c r="DA84" i="9" s="1"/>
  <c r="AY12" i="17" s="1"/>
  <c r="AU34" i="17" s="1"/>
  <c r="AU54" i="17" s="1"/>
  <c r="AF75" i="5"/>
  <c r="P97" i="9"/>
  <c r="CK44" i="9"/>
  <c r="CK67" i="9"/>
  <c r="CK88" i="9" s="1"/>
  <c r="AI16" i="17" s="1"/>
  <c r="AE38" i="17" s="1"/>
  <c r="AE76" i="17" s="1"/>
  <c r="P97" i="5"/>
  <c r="CH44" i="9"/>
  <c r="M97" i="9"/>
  <c r="J78" i="9"/>
  <c r="CE43" i="9"/>
  <c r="CE87" i="9" s="1"/>
  <c r="AC15" i="17" s="1"/>
  <c r="Y37" i="17" s="1"/>
  <c r="Y57" i="17" s="1"/>
  <c r="G78" i="5"/>
  <c r="DA64" i="9"/>
  <c r="DA85" i="9" s="1"/>
  <c r="AY13" i="17" s="1"/>
  <c r="AU35" i="17" s="1"/>
  <c r="AU55" i="17" s="1"/>
  <c r="AF76" i="5"/>
  <c r="DA65" i="9"/>
  <c r="AF77" i="5"/>
  <c r="DA69" i="9"/>
  <c r="DA90" i="9" s="1"/>
  <c r="AY18" i="17" s="1"/>
  <c r="AU40" i="17" s="1"/>
  <c r="AU78" i="17" s="1"/>
  <c r="AF99" i="5"/>
  <c r="M62" i="9"/>
  <c r="AD255" i="4"/>
  <c r="M62" i="5"/>
  <c r="CW39" i="9"/>
  <c r="CW62" i="9"/>
  <c r="CW83" i="9" s="1"/>
  <c r="P78" i="4"/>
  <c r="G320" i="4"/>
  <c r="M64" i="9"/>
  <c r="AD257" i="4"/>
  <c r="M64" i="5"/>
  <c r="G97" i="5"/>
  <c r="CB67" i="9"/>
  <c r="CB88" i="9" s="1"/>
  <c r="Z16" i="17" s="1"/>
  <c r="X16" i="17" s="1"/>
  <c r="P78" i="9"/>
  <c r="CK43" i="9"/>
  <c r="CK87" i="9" s="1"/>
  <c r="AI15" i="17" s="1"/>
  <c r="AE37" i="17" s="1"/>
  <c r="AE57" i="17" s="1"/>
  <c r="M78" i="9"/>
  <c r="CH43" i="9"/>
  <c r="CH87" i="9" s="1"/>
  <c r="AF15" i="17" s="1"/>
  <c r="AB37" i="17" s="1"/>
  <c r="AB57" i="17" s="1"/>
  <c r="M78" i="5"/>
  <c r="CH66" i="9"/>
  <c r="X149" i="5"/>
  <c r="CS75" i="9"/>
  <c r="CS96" i="9" s="1"/>
  <c r="AQ24" i="17" s="1"/>
  <c r="AM46" i="17" s="1"/>
  <c r="AM128" i="17" s="1"/>
  <c r="CS52" i="9"/>
  <c r="X149" i="9"/>
  <c r="DA66" i="9"/>
  <c r="AF78" i="5"/>
  <c r="DA67" i="9"/>
  <c r="DA88" i="9" s="1"/>
  <c r="AY16" i="17" s="1"/>
  <c r="AU38" i="17" s="1"/>
  <c r="AU76" i="17" s="1"/>
  <c r="AF97" i="5"/>
  <c r="AF149" i="5"/>
  <c r="DA75" i="9"/>
  <c r="DA96" i="9" s="1"/>
  <c r="AY24" i="17" s="1"/>
  <c r="AU46" i="17" s="1"/>
  <c r="AU128" i="17" s="1"/>
  <c r="CH67" i="9"/>
  <c r="CH88" i="9" s="1"/>
  <c r="AF16" i="17" s="1"/>
  <c r="AB38" i="17" s="1"/>
  <c r="AB76" i="17" s="1"/>
  <c r="M97" i="5"/>
  <c r="J78" i="5"/>
  <c r="CE66" i="9"/>
  <c r="G78" i="9"/>
  <c r="AM13" i="17"/>
  <c r="DA70" i="9"/>
  <c r="DA91" i="9" s="1"/>
  <c r="AY19" i="17" s="1"/>
  <c r="AU41" i="17" s="1"/>
  <c r="AU79" i="17" s="1"/>
  <c r="AF100" i="5"/>
  <c r="AQ17" i="17"/>
  <c r="AD259" i="4"/>
  <c r="M66" i="5"/>
  <c r="G322" i="4"/>
  <c r="M66" i="9"/>
  <c r="AF98" i="9"/>
  <c r="DA45" i="9"/>
  <c r="AF44" i="1"/>
  <c r="AF45" i="1" s="1"/>
  <c r="AF46" i="1"/>
  <c r="AM113" i="10"/>
  <c r="AM171" i="10" s="1"/>
  <c r="AM201" i="10" s="1"/>
  <c r="V21" i="16" s="1"/>
  <c r="AM47" i="10"/>
  <c r="AL170" i="10"/>
  <c r="AL200" i="10" s="1"/>
  <c r="U20" i="16" s="1"/>
  <c r="AL169" i="10"/>
  <c r="AL199" i="10" s="1"/>
  <c r="U19" i="16" s="1"/>
  <c r="AM169" i="10"/>
  <c r="AM199" i="10" s="1"/>
  <c r="V19" i="16" s="1"/>
  <c r="AM170" i="10"/>
  <c r="AM200" i="10" s="1"/>
  <c r="V20" i="16" s="1"/>
  <c r="AH170" i="10"/>
  <c r="AH200" i="10" s="1"/>
  <c r="Q20" i="16" s="1"/>
  <c r="AH169" i="10"/>
  <c r="AH199" i="10" s="1"/>
  <c r="Q19" i="16" s="1"/>
  <c r="AK170" i="10"/>
  <c r="AK200" i="10" s="1"/>
  <c r="T20" i="16" s="1"/>
  <c r="AK169" i="10"/>
  <c r="AK199" i="10" s="1"/>
  <c r="T19" i="16" s="1"/>
  <c r="AJ170" i="10"/>
  <c r="AJ200" i="10" s="1"/>
  <c r="S20" i="16" s="1"/>
  <c r="AJ169" i="10"/>
  <c r="AJ199" i="10" s="1"/>
  <c r="S19" i="16" s="1"/>
  <c r="AI170" i="10"/>
  <c r="AI200" i="10" s="1"/>
  <c r="R20" i="16" s="1"/>
  <c r="AI169" i="10"/>
  <c r="AI199" i="10" s="1"/>
  <c r="R19" i="16" s="1"/>
  <c r="AN169" i="10"/>
  <c r="AN199" i="10" s="1"/>
  <c r="W19" i="16" s="1"/>
  <c r="AI2" i="10"/>
  <c r="AI107" i="10" s="1"/>
  <c r="H2" i="10"/>
  <c r="W163" i="10"/>
  <c r="W32" i="10"/>
  <c r="AE169" i="10"/>
  <c r="AE170" i="10"/>
  <c r="AF169" i="10"/>
  <c r="AF199" i="10" s="1"/>
  <c r="O19" i="16" s="1"/>
  <c r="AF170" i="10"/>
  <c r="AF200" i="10" s="1"/>
  <c r="O20" i="16" s="1"/>
  <c r="F241" i="6" l="1"/>
  <c r="H14" i="5"/>
  <c r="Y199" i="6"/>
  <c r="AB199" i="6"/>
  <c r="G241" i="6"/>
  <c r="I14" i="5"/>
  <c r="AB196" i="6"/>
  <c r="G217" i="6"/>
  <c r="I11" i="5"/>
  <c r="J12" i="5"/>
  <c r="AE197" i="6"/>
  <c r="H218" i="6"/>
  <c r="K117" i="5"/>
  <c r="K148" i="5"/>
  <c r="K96" i="5"/>
  <c r="H217" i="6"/>
  <c r="AE196" i="6"/>
  <c r="J11" i="5"/>
  <c r="E218" i="6"/>
  <c r="G12" i="5"/>
  <c r="Y197" i="6"/>
  <c r="F218" i="6"/>
  <c r="H12" i="5"/>
  <c r="AD250" i="4"/>
  <c r="L50" i="5"/>
  <c r="CG58" i="9" s="1"/>
  <c r="L74" i="5"/>
  <c r="M47" i="5"/>
  <c r="G11" i="5"/>
  <c r="E217" i="6"/>
  <c r="G271" i="4"/>
  <c r="J56" i="9"/>
  <c r="Y202" i="6"/>
  <c r="F244" i="6"/>
  <c r="H17" i="5"/>
  <c r="AB197" i="6"/>
  <c r="G218" i="6"/>
  <c r="I12" i="5"/>
  <c r="M57" i="9"/>
  <c r="E242" i="6"/>
  <c r="G15" i="5"/>
  <c r="G17" i="5"/>
  <c r="E244" i="6"/>
  <c r="F270" i="4"/>
  <c r="W31" i="2"/>
  <c r="W199" i="2"/>
  <c r="AE200" i="6"/>
  <c r="H242" i="6"/>
  <c r="J15" i="5"/>
  <c r="O60" i="6"/>
  <c r="P60" i="6" s="1"/>
  <c r="G191" i="6" s="1"/>
  <c r="O8" i="6"/>
  <c r="P8" i="6" s="1"/>
  <c r="E191" i="6" s="1"/>
  <c r="G6" i="5" s="1"/>
  <c r="O86" i="6"/>
  <c r="P86" i="6" s="1"/>
  <c r="H191" i="6" s="1"/>
  <c r="AE114" i="6"/>
  <c r="O34" i="6"/>
  <c r="P34" i="6" s="1"/>
  <c r="F191" i="6" s="1"/>
  <c r="E270" i="4"/>
  <c r="G266" i="6"/>
  <c r="I18" i="5"/>
  <c r="AB203" i="6"/>
  <c r="G56" i="5"/>
  <c r="CB64" i="9" s="1"/>
  <c r="CB85" i="9" s="1"/>
  <c r="Z13" i="17" s="1"/>
  <c r="X13" i="17" s="1"/>
  <c r="G35" i="17" s="1"/>
  <c r="G55" i="17" s="1"/>
  <c r="J14" i="5"/>
  <c r="H241" i="6"/>
  <c r="AE199" i="6"/>
  <c r="H15" i="5"/>
  <c r="Y200" i="6"/>
  <c r="F242" i="6"/>
  <c r="G14" i="5"/>
  <c r="E241" i="6"/>
  <c r="Y196" i="6"/>
  <c r="H11" i="5"/>
  <c r="F217" i="6"/>
  <c r="AB200" i="6"/>
  <c r="I15" i="5"/>
  <c r="G242" i="6"/>
  <c r="X142" i="2"/>
  <c r="AF92" i="2"/>
  <c r="G76" i="9"/>
  <c r="CE52" i="9"/>
  <c r="J55" i="9"/>
  <c r="G76" i="5"/>
  <c r="G270" i="4"/>
  <c r="AA245" i="4"/>
  <c r="J52" i="9"/>
  <c r="CE37" i="9" s="1"/>
  <c r="J52" i="5"/>
  <c r="CE60" i="9" s="1"/>
  <c r="CE81" i="9" s="1"/>
  <c r="AC9" i="17" s="1"/>
  <c r="Y31" i="17" s="1"/>
  <c r="G52" i="5"/>
  <c r="CB60" i="9" s="1"/>
  <c r="CB81" i="9" s="1"/>
  <c r="Z9" i="17" s="1"/>
  <c r="X9" i="17" s="1"/>
  <c r="K31" i="17" s="1"/>
  <c r="G52" i="9"/>
  <c r="AG245" i="4"/>
  <c r="P52" i="9"/>
  <c r="P52" i="5"/>
  <c r="CK60" i="9" s="1"/>
  <c r="CK81" i="9" s="1"/>
  <c r="AI9" i="17" s="1"/>
  <c r="AE31" i="17" s="1"/>
  <c r="M52" i="5"/>
  <c r="CH60" i="9" s="1"/>
  <c r="CH81" i="9" s="1"/>
  <c r="AF9" i="17" s="1"/>
  <c r="AB31" i="17" s="1"/>
  <c r="AD245" i="4"/>
  <c r="M56" i="9"/>
  <c r="M56" i="5"/>
  <c r="P66" i="5"/>
  <c r="H322" i="4"/>
  <c r="AG259" i="4"/>
  <c r="CH37" i="9"/>
  <c r="AA248" i="4"/>
  <c r="F269" i="4"/>
  <c r="CK51" i="9"/>
  <c r="P121" i="9"/>
  <c r="P51" i="9"/>
  <c r="P51" i="5"/>
  <c r="CK59" i="9" s="1"/>
  <c r="T98" i="5"/>
  <c r="CO68" i="9"/>
  <c r="CO89" i="9" s="1"/>
  <c r="AM17" i="17" s="1"/>
  <c r="AI39" i="17" s="1"/>
  <c r="AI77" i="17" s="1"/>
  <c r="CO45" i="9"/>
  <c r="T98" i="9"/>
  <c r="J65" i="5"/>
  <c r="CE73" i="9" s="1"/>
  <c r="CE94" i="9" s="1"/>
  <c r="AC22" i="17" s="1"/>
  <c r="Y44" i="17" s="1"/>
  <c r="Y99" i="17" s="1"/>
  <c r="AA258" i="4"/>
  <c r="AG261" i="4"/>
  <c r="G295" i="4"/>
  <c r="M60" i="9"/>
  <c r="AD253" i="4"/>
  <c r="M60" i="5"/>
  <c r="J65" i="9"/>
  <c r="G60" i="5"/>
  <c r="E295" i="4"/>
  <c r="G60" i="9"/>
  <c r="M65" i="9"/>
  <c r="M120" i="9" s="1"/>
  <c r="H295" i="4"/>
  <c r="P60" i="9"/>
  <c r="AG253" i="4"/>
  <c r="P60" i="5"/>
  <c r="AA253" i="4"/>
  <c r="J60" i="5"/>
  <c r="F295" i="4"/>
  <c r="J60" i="9"/>
  <c r="CK76" i="9"/>
  <c r="CK97" i="9" s="1"/>
  <c r="AI25" i="17" s="1"/>
  <c r="AE47" i="17" s="1"/>
  <c r="AE129" i="17" s="1"/>
  <c r="P150" i="5"/>
  <c r="E321" i="4"/>
  <c r="G65" i="9"/>
  <c r="CB50" i="9" s="1"/>
  <c r="G65" i="5"/>
  <c r="J68" i="5"/>
  <c r="J150" i="5" s="1"/>
  <c r="CB43" i="9"/>
  <c r="CB87" i="9" s="1"/>
  <c r="Z15" i="17" s="1"/>
  <c r="X15" i="17" s="1"/>
  <c r="Q37" i="17" s="1"/>
  <c r="Q57" i="17" s="1"/>
  <c r="AA261" i="4"/>
  <c r="J68" i="9"/>
  <c r="J150" i="9" s="1"/>
  <c r="P68" i="9"/>
  <c r="H344" i="4"/>
  <c r="AD258" i="4"/>
  <c r="I58" i="9"/>
  <c r="T77" i="9"/>
  <c r="V57" i="9"/>
  <c r="CO42" i="9"/>
  <c r="CO86" i="9" s="1"/>
  <c r="AM14" i="17" s="1"/>
  <c r="AI36" i="17" s="1"/>
  <c r="AI56" i="17" s="1"/>
  <c r="U57" i="9"/>
  <c r="U57" i="5"/>
  <c r="V57" i="5"/>
  <c r="CO65" i="9"/>
  <c r="T77" i="5"/>
  <c r="H321" i="4"/>
  <c r="E320" i="4"/>
  <c r="AG258" i="4"/>
  <c r="G54" i="5"/>
  <c r="CB62" i="9" s="1"/>
  <c r="CB83" i="9" s="1"/>
  <c r="Z11" i="17" s="1"/>
  <c r="X11" i="17" s="1"/>
  <c r="G54" i="9"/>
  <c r="G64" i="5"/>
  <c r="CB72" i="9" s="1"/>
  <c r="CB93" i="9" s="1"/>
  <c r="Z21" i="17" s="1"/>
  <c r="X21" i="17" s="1"/>
  <c r="P65" i="9"/>
  <c r="G68" i="9"/>
  <c r="G68" i="5"/>
  <c r="E344" i="4"/>
  <c r="P54" i="5"/>
  <c r="CK62" i="9" s="1"/>
  <c r="CK83" i="9" s="1"/>
  <c r="AI11" i="17" s="1"/>
  <c r="AE33" i="17" s="1"/>
  <c r="P54" i="9"/>
  <c r="AG247" i="4"/>
  <c r="J54" i="9"/>
  <c r="AA247" i="4"/>
  <c r="J54" i="5"/>
  <c r="CE62" i="9" s="1"/>
  <c r="CE83" i="9" s="1"/>
  <c r="AC11" i="17" s="1"/>
  <c r="Y33" i="17" s="1"/>
  <c r="M68" i="5"/>
  <c r="T150" i="9"/>
  <c r="CO53" i="9"/>
  <c r="M54" i="5"/>
  <c r="CH62" i="9" s="1"/>
  <c r="CH83" i="9" s="1"/>
  <c r="AF11" i="17" s="1"/>
  <c r="AB33" i="17" s="1"/>
  <c r="AD247" i="4"/>
  <c r="M54" i="9"/>
  <c r="M65" i="5"/>
  <c r="M120" i="5" s="1"/>
  <c r="AD261" i="4"/>
  <c r="CO76" i="9"/>
  <c r="CO97" i="9" s="1"/>
  <c r="AM25" i="17" s="1"/>
  <c r="AI47" i="17" s="1"/>
  <c r="AI129" i="17" s="1"/>
  <c r="T150" i="5"/>
  <c r="M68" i="9"/>
  <c r="M76" i="9"/>
  <c r="M51" i="9"/>
  <c r="CH36" i="9" s="1"/>
  <c r="AD244" i="4"/>
  <c r="M51" i="5"/>
  <c r="CH59" i="9" s="1"/>
  <c r="AA244" i="4"/>
  <c r="J51" i="5"/>
  <c r="CE59" i="9" s="1"/>
  <c r="J51" i="9"/>
  <c r="G51" i="5"/>
  <c r="CB59" i="9" s="1"/>
  <c r="G51" i="9"/>
  <c r="CH64" i="9"/>
  <c r="CH85" i="9" s="1"/>
  <c r="AF13" i="17" s="1"/>
  <c r="AB35" i="17" s="1"/>
  <c r="AB55" i="17" s="1"/>
  <c r="M76" i="5"/>
  <c r="CO50" i="9"/>
  <c r="T120" i="9"/>
  <c r="CO63" i="9"/>
  <c r="CO84" i="9" s="1"/>
  <c r="AM12" i="17" s="1"/>
  <c r="AI34" i="17" s="1"/>
  <c r="AI54" i="17" s="1"/>
  <c r="T75" i="5"/>
  <c r="CO40" i="9"/>
  <c r="T75" i="9"/>
  <c r="H320" i="4"/>
  <c r="AG257" i="4"/>
  <c r="H269" i="4"/>
  <c r="P55" i="9"/>
  <c r="AG248" i="4"/>
  <c r="P55" i="5"/>
  <c r="P64" i="9"/>
  <c r="T120" i="5"/>
  <c r="CO73" i="9"/>
  <c r="CO94" i="9" s="1"/>
  <c r="AM22" i="17" s="1"/>
  <c r="AI44" i="17" s="1"/>
  <c r="AI99" i="17" s="1"/>
  <c r="G55" i="5"/>
  <c r="E269" i="4"/>
  <c r="G55" i="9"/>
  <c r="H55" i="9" s="1"/>
  <c r="AD248" i="4"/>
  <c r="M55" i="5"/>
  <c r="M55" i="9"/>
  <c r="G269" i="4"/>
  <c r="J64" i="5"/>
  <c r="CE72" i="9" s="1"/>
  <c r="CE93" i="9" s="1"/>
  <c r="AC21" i="17" s="1"/>
  <c r="Y43" i="17" s="1"/>
  <c r="Y98" i="17" s="1"/>
  <c r="R107" i="6"/>
  <c r="W33" i="1"/>
  <c r="W162" i="1"/>
  <c r="G244" i="6"/>
  <c r="I17" i="5"/>
  <c r="AB202" i="6"/>
  <c r="AA255" i="4"/>
  <c r="F297" i="4"/>
  <c r="J62" i="9"/>
  <c r="J62" i="5"/>
  <c r="U35" i="17"/>
  <c r="U55" i="17" s="1"/>
  <c r="Q35" i="17"/>
  <c r="Q55" i="17" s="1"/>
  <c r="M35" i="17"/>
  <c r="M55" i="17" s="1"/>
  <c r="T35" i="17"/>
  <c r="T55" i="17" s="1"/>
  <c r="I35" i="17"/>
  <c r="I55" i="17" s="1"/>
  <c r="P35" i="17"/>
  <c r="P55" i="17" s="1"/>
  <c r="S35" i="17"/>
  <c r="S55" i="17" s="1"/>
  <c r="V35" i="17"/>
  <c r="V55" i="17" s="1"/>
  <c r="K35" i="17"/>
  <c r="K55" i="17" s="1"/>
  <c r="N35" i="17"/>
  <c r="N55" i="17" s="1"/>
  <c r="AG255" i="4"/>
  <c r="H297" i="4"/>
  <c r="P62" i="5"/>
  <c r="P62" i="9"/>
  <c r="G267" i="6"/>
  <c r="AB204" i="6"/>
  <c r="I19" i="5"/>
  <c r="Z138" i="1"/>
  <c r="Z139" i="1" s="1"/>
  <c r="Y135" i="1"/>
  <c r="G1" i="2"/>
  <c r="AA1" i="2"/>
  <c r="AA106" i="2" s="1"/>
  <c r="AG7" i="11"/>
  <c r="W8" i="1"/>
  <c r="G62" i="5"/>
  <c r="E297" i="4"/>
  <c r="G62" i="9"/>
  <c r="AA166" i="1"/>
  <c r="AA167" i="1"/>
  <c r="F320" i="4"/>
  <c r="AA257" i="4"/>
  <c r="AE205" i="6"/>
  <c r="H268" i="6"/>
  <c r="J20" i="5"/>
  <c r="CO47" i="9"/>
  <c r="T100" i="9"/>
  <c r="AB51" i="5"/>
  <c r="AB51" i="9"/>
  <c r="AP244" i="4"/>
  <c r="K262" i="4"/>
  <c r="O87" i="6"/>
  <c r="P87" i="6" s="1"/>
  <c r="O9" i="6"/>
  <c r="P9" i="6" s="1"/>
  <c r="AE115" i="6"/>
  <c r="AE132" i="6" s="1"/>
  <c r="O35" i="6"/>
  <c r="P35" i="6" s="1"/>
  <c r="O61" i="6"/>
  <c r="P61" i="6" s="1"/>
  <c r="CE50" i="9"/>
  <c r="J120" i="9"/>
  <c r="AE202" i="6"/>
  <c r="J17" i="5"/>
  <c r="H244" i="6"/>
  <c r="J21" i="5"/>
  <c r="H269" i="6"/>
  <c r="AE206" i="6"/>
  <c r="AF8" i="3"/>
  <c r="AF28" i="3"/>
  <c r="T100" i="5"/>
  <c r="CO70" i="9"/>
  <c r="CO91" i="9" s="1"/>
  <c r="AM19" i="17" s="1"/>
  <c r="AI41" i="17" s="1"/>
  <c r="AI79" i="17" s="1"/>
  <c r="G1" i="1"/>
  <c r="AA1" i="1"/>
  <c r="AA104" i="1" s="1"/>
  <c r="R26" i="16"/>
  <c r="R27" i="16" s="1"/>
  <c r="S26" i="16"/>
  <c r="S27" i="16" s="1"/>
  <c r="T26" i="16"/>
  <c r="T27" i="16" s="1"/>
  <c r="Q26" i="16"/>
  <c r="Q27" i="16" s="1"/>
  <c r="L74" i="9"/>
  <c r="L50" i="9"/>
  <c r="CG35" i="9" s="1"/>
  <c r="CG79" i="9" s="1"/>
  <c r="M47" i="9"/>
  <c r="K117" i="9"/>
  <c r="K96" i="9"/>
  <c r="K148" i="9"/>
  <c r="H64" i="9"/>
  <c r="I64" i="9"/>
  <c r="H67" i="9"/>
  <c r="I67" i="9"/>
  <c r="H57" i="9"/>
  <c r="I57" i="9"/>
  <c r="H65" i="9"/>
  <c r="H66" i="9"/>
  <c r="I66" i="9"/>
  <c r="BJ88" i="9"/>
  <c r="BJ43" i="9"/>
  <c r="AE200" i="10"/>
  <c r="N20" i="16" s="1"/>
  <c r="S170" i="10"/>
  <c r="U26" i="16"/>
  <c r="U27" i="16" s="1"/>
  <c r="O26" i="16"/>
  <c r="O27" i="16" s="1"/>
  <c r="S169" i="10"/>
  <c r="AE177" i="10"/>
  <c r="AE199" i="10"/>
  <c r="N19" i="16" s="1"/>
  <c r="CK65" i="9"/>
  <c r="P77" i="5"/>
  <c r="CK42" i="9"/>
  <c r="CK86" i="9" s="1"/>
  <c r="AI14" i="17" s="1"/>
  <c r="AE36" i="17" s="1"/>
  <c r="AE56" i="17" s="1"/>
  <c r="P77" i="9"/>
  <c r="AG254" i="4"/>
  <c r="H296" i="4"/>
  <c r="P61" i="9"/>
  <c r="P61" i="5"/>
  <c r="G61" i="5"/>
  <c r="E296" i="4"/>
  <c r="G61" i="9"/>
  <c r="G296" i="4"/>
  <c r="M61" i="9"/>
  <c r="M61" i="5"/>
  <c r="AD254" i="4"/>
  <c r="P120" i="5"/>
  <c r="CK73" i="9"/>
  <c r="CK94" i="9" s="1"/>
  <c r="AI22" i="17" s="1"/>
  <c r="AE44" i="17" s="1"/>
  <c r="AE99" i="17" s="1"/>
  <c r="T53" i="5"/>
  <c r="AJ246" i="4"/>
  <c r="T53" i="9"/>
  <c r="I262" i="4"/>
  <c r="CO71" i="9"/>
  <c r="CO92" i="9" s="1"/>
  <c r="AM20" i="17" s="1"/>
  <c r="AI42" i="17" s="1"/>
  <c r="AI97" i="17" s="1"/>
  <c r="T118" i="5"/>
  <c r="AM248" i="4"/>
  <c r="X55" i="5"/>
  <c r="J269" i="4"/>
  <c r="X55" i="9"/>
  <c r="J262" i="4"/>
  <c r="CB75" i="9"/>
  <c r="CB96" i="9" s="1"/>
  <c r="Z24" i="17" s="1"/>
  <c r="X24" i="17" s="1"/>
  <c r="G149" i="5"/>
  <c r="J77" i="5"/>
  <c r="CE65" i="9"/>
  <c r="J77" i="9"/>
  <c r="CE42" i="9"/>
  <c r="CE86" i="9" s="1"/>
  <c r="AC14" i="17" s="1"/>
  <c r="Y36" i="17" s="1"/>
  <c r="Y56" i="17" s="1"/>
  <c r="M77" i="9"/>
  <c r="CH42" i="9"/>
  <c r="CH86" i="9" s="1"/>
  <c r="AF14" i="17" s="1"/>
  <c r="AB36" i="17" s="1"/>
  <c r="AB56" i="17" s="1"/>
  <c r="G77" i="5"/>
  <c r="CB65" i="9"/>
  <c r="CB73" i="9"/>
  <c r="CB94" i="9" s="1"/>
  <c r="Z22" i="17" s="1"/>
  <c r="X22" i="17" s="1"/>
  <c r="G120" i="5"/>
  <c r="CO46" i="9"/>
  <c r="T99" i="9"/>
  <c r="E319" i="4"/>
  <c r="G63" i="5"/>
  <c r="G63" i="9"/>
  <c r="G319" i="4"/>
  <c r="M63" i="5"/>
  <c r="AD256" i="4"/>
  <c r="M63" i="9"/>
  <c r="J121" i="5"/>
  <c r="CE74" i="9"/>
  <c r="CE95" i="9" s="1"/>
  <c r="AC23" i="17" s="1"/>
  <c r="Y45" i="17" s="1"/>
  <c r="Y100" i="17" s="1"/>
  <c r="J121" i="9"/>
  <c r="CE51" i="9"/>
  <c r="CE40" i="9"/>
  <c r="J75" i="9"/>
  <c r="J61" i="9"/>
  <c r="J61" i="5"/>
  <c r="AA254" i="4"/>
  <c r="F296" i="4"/>
  <c r="CO48" i="9"/>
  <c r="T118" i="9"/>
  <c r="G149" i="9"/>
  <c r="CB52" i="9"/>
  <c r="M77" i="5"/>
  <c r="CH65" i="9"/>
  <c r="CB42" i="9"/>
  <c r="CB86" i="9" s="1"/>
  <c r="Z14" i="17" s="1"/>
  <c r="X14" i="17" s="1"/>
  <c r="G77" i="9"/>
  <c r="G120" i="9"/>
  <c r="CO69" i="9"/>
  <c r="CO90" i="9" s="1"/>
  <c r="AM18" i="17" s="1"/>
  <c r="AI40" i="17" s="1"/>
  <c r="AI78" i="17" s="1"/>
  <c r="T99" i="5"/>
  <c r="Q88" i="4"/>
  <c r="R88" i="4" s="1"/>
  <c r="Q62" i="4"/>
  <c r="R62" i="4" s="1"/>
  <c r="Q36" i="4"/>
  <c r="R36" i="4" s="1"/>
  <c r="F246" i="4" s="1"/>
  <c r="Q10" i="4"/>
  <c r="R10" i="4" s="1"/>
  <c r="AG116" i="4"/>
  <c r="AG132" i="4" s="1"/>
  <c r="AA256" i="4"/>
  <c r="F319" i="4"/>
  <c r="J63" i="5"/>
  <c r="J63" i="9"/>
  <c r="AG256" i="4"/>
  <c r="H319" i="4"/>
  <c r="P63" i="5"/>
  <c r="P63" i="9"/>
  <c r="H31" i="17"/>
  <c r="CE63" i="9"/>
  <c r="CE84" i="9" s="1"/>
  <c r="AC12" i="17" s="1"/>
  <c r="Y34" i="17" s="1"/>
  <c r="Y54" i="17" s="1"/>
  <c r="J75" i="5"/>
  <c r="CB51" i="9"/>
  <c r="G121" i="9"/>
  <c r="CB74" i="9"/>
  <c r="CB95" i="9" s="1"/>
  <c r="Z23" i="17" s="1"/>
  <c r="X23" i="17" s="1"/>
  <c r="G121" i="5"/>
  <c r="AM39" i="17"/>
  <c r="AM77" i="17" s="1"/>
  <c r="CD43" i="9"/>
  <c r="CD87" i="9" s="1"/>
  <c r="AB15" i="17" s="1"/>
  <c r="X37" i="17" s="1"/>
  <c r="X57" i="17" s="1"/>
  <c r="I78" i="9"/>
  <c r="V37" i="17"/>
  <c r="V57" i="17" s="1"/>
  <c r="DA62" i="9"/>
  <c r="AF69" i="5"/>
  <c r="AU11" i="17"/>
  <c r="S33" i="17"/>
  <c r="K33" i="17"/>
  <c r="T33" i="17"/>
  <c r="L33" i="17"/>
  <c r="U33" i="17"/>
  <c r="M33" i="17"/>
  <c r="V33" i="17"/>
  <c r="N33" i="17"/>
  <c r="O33" i="17"/>
  <c r="G33" i="17"/>
  <c r="P33" i="17"/>
  <c r="H33" i="17"/>
  <c r="Q33" i="17"/>
  <c r="I33" i="17"/>
  <c r="R33" i="17"/>
  <c r="J33" i="17"/>
  <c r="I97" i="9"/>
  <c r="CD44" i="9"/>
  <c r="P119" i="9"/>
  <c r="CK49" i="9"/>
  <c r="CB49" i="9"/>
  <c r="G119" i="9"/>
  <c r="P119" i="5"/>
  <c r="CK72" i="9"/>
  <c r="CK93" i="9" s="1"/>
  <c r="AI21" i="17" s="1"/>
  <c r="AE43" i="17" s="1"/>
  <c r="AE98" i="17" s="1"/>
  <c r="AF77" i="9"/>
  <c r="DA42" i="9"/>
  <c r="DA86" i="9" s="1"/>
  <c r="AY14" i="17" s="1"/>
  <c r="AU36" i="17" s="1"/>
  <c r="AU56" i="17" s="1"/>
  <c r="M121" i="9"/>
  <c r="CH51" i="9"/>
  <c r="CH74" i="9"/>
  <c r="CH95" i="9" s="1"/>
  <c r="AF23" i="17" s="1"/>
  <c r="AB45" i="17" s="1"/>
  <c r="AB100" i="17" s="1"/>
  <c r="M121" i="5"/>
  <c r="AI35" i="17"/>
  <c r="AI55" i="17" s="1"/>
  <c r="O38" i="17"/>
  <c r="O76" i="17" s="1"/>
  <c r="G38" i="17"/>
  <c r="G76" i="17" s="1"/>
  <c r="P38" i="17"/>
  <c r="P76" i="17" s="1"/>
  <c r="H38" i="17"/>
  <c r="H76" i="17" s="1"/>
  <c r="Q38" i="17"/>
  <c r="Q76" i="17" s="1"/>
  <c r="I38" i="17"/>
  <c r="I76" i="17" s="1"/>
  <c r="R38" i="17"/>
  <c r="R76" i="17" s="1"/>
  <c r="J38" i="17"/>
  <c r="J76" i="17" s="1"/>
  <c r="S38" i="17"/>
  <c r="S76" i="17" s="1"/>
  <c r="K38" i="17"/>
  <c r="K76" i="17" s="1"/>
  <c r="T38" i="17"/>
  <c r="T76" i="17" s="1"/>
  <c r="L38" i="17"/>
  <c r="L76" i="17" s="1"/>
  <c r="U38" i="17"/>
  <c r="U76" i="17" s="1"/>
  <c r="M38" i="17"/>
  <c r="M76" i="17" s="1"/>
  <c r="V38" i="17"/>
  <c r="V76" i="17" s="1"/>
  <c r="N38" i="17"/>
  <c r="N76" i="17" s="1"/>
  <c r="M119" i="5"/>
  <c r="CH72" i="9"/>
  <c r="CH93" i="9" s="1"/>
  <c r="AF21" i="17" s="1"/>
  <c r="AB43" i="17" s="1"/>
  <c r="AB98" i="17" s="1"/>
  <c r="CH49" i="9"/>
  <c r="M119" i="9"/>
  <c r="J119" i="9"/>
  <c r="CE49" i="9"/>
  <c r="M100" i="5"/>
  <c r="CH70" i="9"/>
  <c r="CH91" i="9" s="1"/>
  <c r="AF19" i="17" s="1"/>
  <c r="AB41" i="17" s="1"/>
  <c r="AB79" i="17" s="1"/>
  <c r="M100" i="9"/>
  <c r="CH47" i="9"/>
  <c r="V26" i="16"/>
  <c r="V27" i="16" s="1"/>
  <c r="W26" i="16"/>
  <c r="W27" i="16" s="1"/>
  <c r="W164" i="10"/>
  <c r="W33" i="10"/>
  <c r="AJ2" i="10"/>
  <c r="AJ107" i="10" s="1"/>
  <c r="I2" i="10"/>
  <c r="G31" i="17" l="1"/>
  <c r="CH80" i="9"/>
  <c r="AF8" i="17" s="1"/>
  <c r="AB30" i="17" s="1"/>
  <c r="O31" i="17"/>
  <c r="W200" i="2"/>
  <c r="W32" i="2"/>
  <c r="CE80" i="9"/>
  <c r="AC8" i="17" s="1"/>
  <c r="Y30" i="17" s="1"/>
  <c r="P31" i="17"/>
  <c r="N31" i="17"/>
  <c r="J76" i="9"/>
  <c r="CE41" i="9"/>
  <c r="I56" i="9"/>
  <c r="H56" i="9"/>
  <c r="U31" i="17"/>
  <c r="L35" i="17"/>
  <c r="L55" i="17" s="1"/>
  <c r="J35" i="17"/>
  <c r="J55" i="17" s="1"/>
  <c r="CK80" i="9"/>
  <c r="AI8" i="17" s="1"/>
  <c r="AE30" i="17" s="1"/>
  <c r="Y191" i="6"/>
  <c r="H6" i="5"/>
  <c r="L31" i="17"/>
  <c r="J31" i="17"/>
  <c r="S31" i="17"/>
  <c r="AE191" i="6"/>
  <c r="J6" i="5"/>
  <c r="DA83" i="9"/>
  <c r="DA77" i="9"/>
  <c r="R31" i="17"/>
  <c r="CH50" i="9"/>
  <c r="R35" i="17"/>
  <c r="R55" i="17" s="1"/>
  <c r="H35" i="17"/>
  <c r="H55" i="17" s="1"/>
  <c r="M50" i="5"/>
  <c r="CH58" i="9" s="1"/>
  <c r="N47" i="5"/>
  <c r="M74" i="5"/>
  <c r="V31" i="17"/>
  <c r="I31" i="17"/>
  <c r="O35" i="17"/>
  <c r="O55" i="17" s="1"/>
  <c r="CB80" i="9"/>
  <c r="I6" i="5"/>
  <c r="AB191" i="6"/>
  <c r="L148" i="5"/>
  <c r="L117" i="5"/>
  <c r="L96" i="5"/>
  <c r="Q31" i="17"/>
  <c r="M31" i="17"/>
  <c r="T31" i="17"/>
  <c r="P120" i="9"/>
  <c r="CK50" i="9"/>
  <c r="CH41" i="9"/>
  <c r="CE53" i="9"/>
  <c r="N37" i="17"/>
  <c r="N57" i="17" s="1"/>
  <c r="K37" i="17"/>
  <c r="K57" i="17" s="1"/>
  <c r="S37" i="17"/>
  <c r="S57" i="17" s="1"/>
  <c r="CK37" i="9"/>
  <c r="J37" i="17"/>
  <c r="J57" i="17" s="1"/>
  <c r="L37" i="17"/>
  <c r="L57" i="17" s="1"/>
  <c r="R37" i="17"/>
  <c r="R57" i="17" s="1"/>
  <c r="T37" i="17"/>
  <c r="T57" i="17" s="1"/>
  <c r="CK36" i="9"/>
  <c r="I52" i="9"/>
  <c r="CD37" i="9" s="1"/>
  <c r="CB37" i="9"/>
  <c r="H52" i="9"/>
  <c r="CC37" i="9" s="1"/>
  <c r="G37" i="17"/>
  <c r="G57" i="17" s="1"/>
  <c r="M37" i="17"/>
  <c r="M57" i="17" s="1"/>
  <c r="O37" i="17"/>
  <c r="O57" i="17" s="1"/>
  <c r="U37" i="17"/>
  <c r="U57" i="17" s="1"/>
  <c r="H37" i="17"/>
  <c r="H57" i="17" s="1"/>
  <c r="P37" i="17"/>
  <c r="P57" i="17" s="1"/>
  <c r="I37" i="17"/>
  <c r="I57" i="17" s="1"/>
  <c r="I65" i="9"/>
  <c r="I120" i="9" s="1"/>
  <c r="P121" i="5"/>
  <c r="CK74" i="9"/>
  <c r="CK95" i="9" s="1"/>
  <c r="AI23" i="17" s="1"/>
  <c r="AE45" i="17" s="1"/>
  <c r="AE100" i="17" s="1"/>
  <c r="P150" i="9"/>
  <c r="CB68" i="9"/>
  <c r="CB89" i="9" s="1"/>
  <c r="Z17" i="17" s="1"/>
  <c r="X17" i="17" s="1"/>
  <c r="G98" i="5"/>
  <c r="J98" i="9"/>
  <c r="CE45" i="9"/>
  <c r="M98" i="5"/>
  <c r="CH68" i="9"/>
  <c r="CH89" i="9" s="1"/>
  <c r="AF17" i="17" s="1"/>
  <c r="AB39" i="17" s="1"/>
  <c r="AB77" i="17" s="1"/>
  <c r="CE68" i="9"/>
  <c r="CE89" i="9" s="1"/>
  <c r="AC17" i="17" s="1"/>
  <c r="Y39" i="17" s="1"/>
  <c r="Y77" i="17" s="1"/>
  <c r="J98" i="5"/>
  <c r="CH45" i="9"/>
  <c r="M98" i="9"/>
  <c r="CK68" i="9"/>
  <c r="CK89" i="9" s="1"/>
  <c r="AI17" i="17" s="1"/>
  <c r="AE39" i="17" s="1"/>
  <c r="AE77" i="17" s="1"/>
  <c r="P98" i="5"/>
  <c r="CH73" i="9"/>
  <c r="CH94" i="9" s="1"/>
  <c r="AF22" i="17" s="1"/>
  <c r="AB44" i="17" s="1"/>
  <c r="AB99" i="17" s="1"/>
  <c r="I55" i="9"/>
  <c r="I75" i="9" s="1"/>
  <c r="J120" i="5"/>
  <c r="P98" i="9"/>
  <c r="CK45" i="9"/>
  <c r="G98" i="9"/>
  <c r="CB45" i="9"/>
  <c r="H60" i="9"/>
  <c r="I60" i="9"/>
  <c r="G119" i="5"/>
  <c r="J119" i="5"/>
  <c r="CE76" i="9"/>
  <c r="CE97" i="9" s="1"/>
  <c r="AC25" i="17" s="1"/>
  <c r="Y47" i="17" s="1"/>
  <c r="Y129" i="17" s="1"/>
  <c r="CK53" i="9"/>
  <c r="G150" i="5"/>
  <c r="CB76" i="9"/>
  <c r="CB97" i="9" s="1"/>
  <c r="Z25" i="17" s="1"/>
  <c r="X25" i="17" s="1"/>
  <c r="CQ65" i="9"/>
  <c r="V77" i="5"/>
  <c r="I68" i="9"/>
  <c r="H68" i="9"/>
  <c r="G150" i="9"/>
  <c r="CB53" i="9"/>
  <c r="U77" i="5"/>
  <c r="CP65" i="9"/>
  <c r="CH39" i="9"/>
  <c r="M150" i="9"/>
  <c r="CH53" i="9"/>
  <c r="M150" i="5"/>
  <c r="CH76" i="9"/>
  <c r="CH97" i="9" s="1"/>
  <c r="AF25" i="17" s="1"/>
  <c r="AB47" i="17" s="1"/>
  <c r="AB129" i="17" s="1"/>
  <c r="H54" i="9"/>
  <c r="CC39" i="9" s="1"/>
  <c r="I54" i="9"/>
  <c r="CD39" i="9" s="1"/>
  <c r="CB39" i="9"/>
  <c r="U77" i="9"/>
  <c r="CP42" i="9"/>
  <c r="CP86" i="9" s="1"/>
  <c r="AN14" i="17" s="1"/>
  <c r="AJ36" i="17" s="1"/>
  <c r="AJ56" i="17" s="1"/>
  <c r="CE39" i="9"/>
  <c r="V77" i="9"/>
  <c r="CQ42" i="9"/>
  <c r="CQ86" i="9" s="1"/>
  <c r="AO14" i="17" s="1"/>
  <c r="AK36" i="17" s="1"/>
  <c r="AK56" i="17" s="1"/>
  <c r="CK39" i="9"/>
  <c r="CB36" i="9"/>
  <c r="H51" i="9"/>
  <c r="CC36" i="9" s="1"/>
  <c r="I51" i="9"/>
  <c r="CD36" i="9" s="1"/>
  <c r="CE36" i="9"/>
  <c r="P75" i="5"/>
  <c r="CK63" i="9"/>
  <c r="CK84" i="9" s="1"/>
  <c r="AI12" i="17" s="1"/>
  <c r="AE34" i="17" s="1"/>
  <c r="AE54" i="17" s="1"/>
  <c r="M75" i="9"/>
  <c r="CH40" i="9"/>
  <c r="CK40" i="9"/>
  <c r="P75" i="9"/>
  <c r="M75" i="5"/>
  <c r="CH63" i="9"/>
  <c r="CH84" i="9" s="1"/>
  <c r="AF12" i="17" s="1"/>
  <c r="AB34" i="17" s="1"/>
  <c r="AB54" i="17" s="1"/>
  <c r="G75" i="5"/>
  <c r="CB63" i="9"/>
  <c r="CB84" i="9" s="1"/>
  <c r="Z12" i="17" s="1"/>
  <c r="X12" i="17" s="1"/>
  <c r="G75" i="9"/>
  <c r="CB40" i="9"/>
  <c r="CE70" i="9"/>
  <c r="CE91" i="9" s="1"/>
  <c r="AC19" i="17" s="1"/>
  <c r="Y41" i="17" s="1"/>
  <c r="Y79" i="17" s="1"/>
  <c r="J100" i="5"/>
  <c r="E192" i="6"/>
  <c r="G7" i="5" s="1"/>
  <c r="P26" i="6"/>
  <c r="P100" i="5"/>
  <c r="CK70" i="9"/>
  <c r="CK91" i="9" s="1"/>
  <c r="AI19" i="17" s="1"/>
  <c r="AE41" i="17" s="1"/>
  <c r="AE79" i="17" s="1"/>
  <c r="X135" i="1"/>
  <c r="X138" i="1" s="1"/>
  <c r="X139" i="1" s="1"/>
  <c r="Y138" i="1"/>
  <c r="Y139" i="1" s="1"/>
  <c r="AF29" i="3"/>
  <c r="AF9" i="3"/>
  <c r="CB70" i="9"/>
  <c r="CB91" i="9" s="1"/>
  <c r="Z19" i="17" s="1"/>
  <c r="X19" i="17" s="1"/>
  <c r="G100" i="5"/>
  <c r="Z166" i="1"/>
  <c r="Z167" i="1"/>
  <c r="CW36" i="9"/>
  <c r="AB69" i="9"/>
  <c r="CW54" i="9" s="1"/>
  <c r="AG8" i="11"/>
  <c r="W9" i="1"/>
  <c r="CE47" i="9"/>
  <c r="J100" i="9"/>
  <c r="CW59" i="9"/>
  <c r="AB69" i="5"/>
  <c r="H192" i="6"/>
  <c r="P104" i="6"/>
  <c r="R52" i="4"/>
  <c r="I62" i="9"/>
  <c r="G100" i="9"/>
  <c r="CB47" i="9"/>
  <c r="H62" i="9"/>
  <c r="H1" i="2"/>
  <c r="AB1" i="2"/>
  <c r="AB106" i="2" s="1"/>
  <c r="G192" i="6"/>
  <c r="P78" i="6"/>
  <c r="W34" i="1"/>
  <c r="W163" i="1"/>
  <c r="F192" i="6"/>
  <c r="P52" i="6"/>
  <c r="H1" i="1"/>
  <c r="AB1" i="1"/>
  <c r="AB104" i="1" s="1"/>
  <c r="CK47" i="9"/>
  <c r="P100" i="9"/>
  <c r="M50" i="9"/>
  <c r="CH35" i="9" s="1"/>
  <c r="CH79" i="9" s="1"/>
  <c r="N47" i="9"/>
  <c r="M74" i="9"/>
  <c r="L96" i="9"/>
  <c r="L148" i="9"/>
  <c r="L117" i="9"/>
  <c r="H63" i="9"/>
  <c r="I63" i="9"/>
  <c r="BJ89" i="9"/>
  <c r="BJ44" i="9"/>
  <c r="H61" i="9"/>
  <c r="I61" i="9"/>
  <c r="Y170" i="10"/>
  <c r="AA170" i="10"/>
  <c r="AC170" i="10"/>
  <c r="X170" i="10"/>
  <c r="Z170" i="10"/>
  <c r="AB170" i="10"/>
  <c r="AD170" i="10"/>
  <c r="N26" i="16"/>
  <c r="N27" i="16" s="1"/>
  <c r="Y169" i="10"/>
  <c r="AA169" i="10"/>
  <c r="AC169" i="10"/>
  <c r="X169" i="10"/>
  <c r="Z169" i="10"/>
  <c r="AB169" i="10"/>
  <c r="AD169" i="10"/>
  <c r="H76" i="9"/>
  <c r="CC41" i="9"/>
  <c r="U45" i="17"/>
  <c r="U100" i="17" s="1"/>
  <c r="M45" i="17"/>
  <c r="M100" i="17" s="1"/>
  <c r="V45" i="17"/>
  <c r="V100" i="17" s="1"/>
  <c r="N45" i="17"/>
  <c r="N100" i="17" s="1"/>
  <c r="S45" i="17"/>
  <c r="S100" i="17" s="1"/>
  <c r="K45" i="17"/>
  <c r="K100" i="17" s="1"/>
  <c r="T45" i="17"/>
  <c r="T100" i="17" s="1"/>
  <c r="L45" i="17"/>
  <c r="L100" i="17" s="1"/>
  <c r="Q45" i="17"/>
  <c r="Q100" i="17" s="1"/>
  <c r="I45" i="17"/>
  <c r="I100" i="17" s="1"/>
  <c r="R45" i="17"/>
  <c r="R100" i="17" s="1"/>
  <c r="J45" i="17"/>
  <c r="J100" i="17" s="1"/>
  <c r="O45" i="17"/>
  <c r="O100" i="17" s="1"/>
  <c r="G45" i="17"/>
  <c r="G100" i="17" s="1"/>
  <c r="P45" i="17"/>
  <c r="P100" i="17" s="1"/>
  <c r="H45" i="17"/>
  <c r="H100" i="17" s="1"/>
  <c r="P118" i="5"/>
  <c r="CK71" i="9"/>
  <c r="CK92" i="9" s="1"/>
  <c r="AI20" i="17" s="1"/>
  <c r="AE42" i="17" s="1"/>
  <c r="AE97" i="17" s="1"/>
  <c r="CE71" i="9"/>
  <c r="CE92" i="9" s="1"/>
  <c r="AC20" i="17" s="1"/>
  <c r="Y42" i="17" s="1"/>
  <c r="Y97" i="17" s="1"/>
  <c r="J118" i="5"/>
  <c r="R26" i="4"/>
  <c r="E246" i="4"/>
  <c r="R78" i="4"/>
  <c r="G246" i="4"/>
  <c r="H77" i="9"/>
  <c r="CC42" i="9"/>
  <c r="CC86" i="9" s="1"/>
  <c r="AA14" i="17" s="1"/>
  <c r="W36" i="17" s="1"/>
  <c r="W56" i="17" s="1"/>
  <c r="CD42" i="9"/>
  <c r="CD86" i="9" s="1"/>
  <c r="AB14" i="17" s="1"/>
  <c r="X36" i="17" s="1"/>
  <c r="X56" i="17" s="1"/>
  <c r="I77" i="9"/>
  <c r="H149" i="9"/>
  <c r="CC52" i="9"/>
  <c r="J99" i="5"/>
  <c r="CE69" i="9"/>
  <c r="CE90" i="9" s="1"/>
  <c r="AC18" i="17" s="1"/>
  <c r="Y40" i="17" s="1"/>
  <c r="Y78" i="17" s="1"/>
  <c r="CD40" i="9"/>
  <c r="M118" i="9"/>
  <c r="CH48" i="9"/>
  <c r="CH71" i="9"/>
  <c r="CH92" i="9" s="1"/>
  <c r="AF20" i="17" s="1"/>
  <c r="AB42" i="17" s="1"/>
  <c r="AB97" i="17" s="1"/>
  <c r="M118" i="5"/>
  <c r="G118" i="9"/>
  <c r="CB48" i="9"/>
  <c r="U44" i="17"/>
  <c r="U99" i="17" s="1"/>
  <c r="M44" i="17"/>
  <c r="M99" i="17" s="1"/>
  <c r="V44" i="17"/>
  <c r="V99" i="17" s="1"/>
  <c r="N44" i="17"/>
  <c r="N99" i="17" s="1"/>
  <c r="S44" i="17"/>
  <c r="S99" i="17" s="1"/>
  <c r="K44" i="17"/>
  <c r="K99" i="17" s="1"/>
  <c r="T44" i="17"/>
  <c r="T99" i="17" s="1"/>
  <c r="L44" i="17"/>
  <c r="L99" i="17" s="1"/>
  <c r="Q44" i="17"/>
  <c r="Q99" i="17" s="1"/>
  <c r="I44" i="17"/>
  <c r="I99" i="17" s="1"/>
  <c r="R44" i="17"/>
  <c r="R99" i="17" s="1"/>
  <c r="J44" i="17"/>
  <c r="J99" i="17" s="1"/>
  <c r="O44" i="17"/>
  <c r="O99" i="17" s="1"/>
  <c r="G44" i="17"/>
  <c r="G99" i="17" s="1"/>
  <c r="P44" i="17"/>
  <c r="P99" i="17" s="1"/>
  <c r="H44" i="17"/>
  <c r="H99" i="17" s="1"/>
  <c r="Q46" i="17"/>
  <c r="Q128" i="17" s="1"/>
  <c r="I46" i="17"/>
  <c r="I128" i="17" s="1"/>
  <c r="R46" i="17"/>
  <c r="R128" i="17" s="1"/>
  <c r="J46" i="17"/>
  <c r="J128" i="17" s="1"/>
  <c r="O46" i="17"/>
  <c r="O128" i="17" s="1"/>
  <c r="G46" i="17"/>
  <c r="G128" i="17" s="1"/>
  <c r="P46" i="17"/>
  <c r="P128" i="17" s="1"/>
  <c r="H46" i="17"/>
  <c r="H128" i="17" s="1"/>
  <c r="U46" i="17"/>
  <c r="U128" i="17" s="1"/>
  <c r="M46" i="17"/>
  <c r="M128" i="17" s="1"/>
  <c r="V46" i="17"/>
  <c r="V128" i="17" s="1"/>
  <c r="N46" i="17"/>
  <c r="N128" i="17" s="1"/>
  <c r="S46" i="17"/>
  <c r="S128" i="17" s="1"/>
  <c r="K46" i="17"/>
  <c r="K128" i="17" s="1"/>
  <c r="T46" i="17"/>
  <c r="T128" i="17" s="1"/>
  <c r="L46" i="17"/>
  <c r="L128" i="17" s="1"/>
  <c r="CS40" i="9"/>
  <c r="X75" i="9"/>
  <c r="X69" i="9"/>
  <c r="CS54" i="9" s="1"/>
  <c r="X75" i="5"/>
  <c r="CS63" i="9"/>
  <c r="X69" i="5"/>
  <c r="CO38" i="9"/>
  <c r="T69" i="9"/>
  <c r="CO54" i="9" s="1"/>
  <c r="CO61" i="9"/>
  <c r="T69" i="5"/>
  <c r="CH46" i="9"/>
  <c r="M99" i="9"/>
  <c r="G99" i="9"/>
  <c r="CB46" i="9"/>
  <c r="G99" i="5"/>
  <c r="CB69" i="9"/>
  <c r="CB90" i="9" s="1"/>
  <c r="Z18" i="17" s="1"/>
  <c r="X18" i="17" s="1"/>
  <c r="CK46" i="9"/>
  <c r="P99" i="9"/>
  <c r="I121" i="9"/>
  <c r="CD51" i="9"/>
  <c r="P118" i="9"/>
  <c r="CK48" i="9"/>
  <c r="CE48" i="9"/>
  <c r="J118" i="9"/>
  <c r="H246" i="4"/>
  <c r="R104" i="4"/>
  <c r="CD50" i="9"/>
  <c r="U36" i="17"/>
  <c r="U56" i="17" s="1"/>
  <c r="M36" i="17"/>
  <c r="M56" i="17" s="1"/>
  <c r="T36" i="17"/>
  <c r="T56" i="17" s="1"/>
  <c r="L36" i="17"/>
  <c r="L56" i="17" s="1"/>
  <c r="S36" i="17"/>
  <c r="S56" i="17" s="1"/>
  <c r="K36" i="17"/>
  <c r="K56" i="17" s="1"/>
  <c r="V36" i="17"/>
  <c r="V56" i="17" s="1"/>
  <c r="N36" i="17"/>
  <c r="N56" i="17" s="1"/>
  <c r="Q36" i="17"/>
  <c r="Q56" i="17" s="1"/>
  <c r="I36" i="17"/>
  <c r="I56" i="17" s="1"/>
  <c r="P36" i="17"/>
  <c r="P56" i="17" s="1"/>
  <c r="H36" i="17"/>
  <c r="H56" i="17" s="1"/>
  <c r="O36" i="17"/>
  <c r="O56" i="17" s="1"/>
  <c r="G36" i="17"/>
  <c r="G56" i="17" s="1"/>
  <c r="R36" i="17"/>
  <c r="R56" i="17" s="1"/>
  <c r="J36" i="17"/>
  <c r="J56" i="17" s="1"/>
  <c r="I149" i="9"/>
  <c r="CD52" i="9"/>
  <c r="CE46" i="9"/>
  <c r="J99" i="9"/>
  <c r="CB71" i="9"/>
  <c r="CB92" i="9" s="1"/>
  <c r="Z20" i="17" s="1"/>
  <c r="X20" i="17" s="1"/>
  <c r="G118" i="5"/>
  <c r="CH69" i="9"/>
  <c r="CH90" i="9" s="1"/>
  <c r="AF18" i="17" s="1"/>
  <c r="AB40" i="17" s="1"/>
  <c r="AB78" i="17" s="1"/>
  <c r="M99" i="5"/>
  <c r="CK69" i="9"/>
  <c r="CK90" i="9" s="1"/>
  <c r="AI18" i="17" s="1"/>
  <c r="AE40" i="17" s="1"/>
  <c r="AE78" i="17" s="1"/>
  <c r="P99" i="5"/>
  <c r="H150" i="9"/>
  <c r="CC53" i="9"/>
  <c r="DA39" i="9"/>
  <c r="AF69" i="9"/>
  <c r="DA54" i="9" s="1"/>
  <c r="U43" i="17"/>
  <c r="U98" i="17" s="1"/>
  <c r="M43" i="17"/>
  <c r="M98" i="17" s="1"/>
  <c r="V43" i="17"/>
  <c r="V98" i="17" s="1"/>
  <c r="N43" i="17"/>
  <c r="N98" i="17" s="1"/>
  <c r="S43" i="17"/>
  <c r="S98" i="17" s="1"/>
  <c r="K43" i="17"/>
  <c r="K98" i="17" s="1"/>
  <c r="T43" i="17"/>
  <c r="T98" i="17" s="1"/>
  <c r="L43" i="17"/>
  <c r="L98" i="17" s="1"/>
  <c r="Q43" i="17"/>
  <c r="Q98" i="17" s="1"/>
  <c r="I43" i="17"/>
  <c r="I98" i="17" s="1"/>
  <c r="R43" i="17"/>
  <c r="R98" i="17" s="1"/>
  <c r="J43" i="17"/>
  <c r="J98" i="17" s="1"/>
  <c r="O43" i="17"/>
  <c r="O98" i="17" s="1"/>
  <c r="G43" i="17"/>
  <c r="G98" i="17" s="1"/>
  <c r="P43" i="17"/>
  <c r="P98" i="17" s="1"/>
  <c r="H43" i="17"/>
  <c r="H98" i="17" s="1"/>
  <c r="CD49" i="9"/>
  <c r="I119" i="9"/>
  <c r="AQ33" i="17"/>
  <c r="AY11" i="17"/>
  <c r="DA98" i="9"/>
  <c r="H97" i="9"/>
  <c r="CC44" i="9"/>
  <c r="CC47" i="9"/>
  <c r="H100" i="9"/>
  <c r="H98" i="9"/>
  <c r="CC45" i="9"/>
  <c r="H78" i="9"/>
  <c r="CC43" i="9"/>
  <c r="CC87" i="9" s="1"/>
  <c r="AA15" i="17" s="1"/>
  <c r="W37" i="17" s="1"/>
  <c r="W57" i="17" s="1"/>
  <c r="AA246" i="4"/>
  <c r="J53" i="9"/>
  <c r="J53" i="5"/>
  <c r="F262" i="4"/>
  <c r="AK2" i="10"/>
  <c r="AK107" i="10" s="1"/>
  <c r="J2" i="10"/>
  <c r="W165" i="10"/>
  <c r="W34" i="10"/>
  <c r="CW80" i="9" l="1"/>
  <c r="CW77" i="9"/>
  <c r="M96" i="5"/>
  <c r="M148" i="5"/>
  <c r="M117" i="5"/>
  <c r="N50" i="5"/>
  <c r="CI58" i="9" s="1"/>
  <c r="N74" i="5"/>
  <c r="O47" i="5"/>
  <c r="CO82" i="9"/>
  <c r="CO77" i="9"/>
  <c r="W33" i="2"/>
  <c r="W201" i="2"/>
  <c r="Z8" i="17"/>
  <c r="X8" i="17" s="1"/>
  <c r="CS84" i="9"/>
  <c r="CS77" i="9"/>
  <c r="CD41" i="9"/>
  <c r="I76" i="9"/>
  <c r="I98" i="9"/>
  <c r="CD45" i="9"/>
  <c r="Q39" i="17"/>
  <c r="Q77" i="17" s="1"/>
  <c r="L39" i="17"/>
  <c r="L77" i="17" s="1"/>
  <c r="J39" i="17"/>
  <c r="J77" i="17" s="1"/>
  <c r="T39" i="17"/>
  <c r="T77" i="17" s="1"/>
  <c r="R39" i="17"/>
  <c r="R77" i="17" s="1"/>
  <c r="M39" i="17"/>
  <c r="M77" i="17" s="1"/>
  <c r="G39" i="17"/>
  <c r="G77" i="17" s="1"/>
  <c r="U39" i="17"/>
  <c r="U77" i="17" s="1"/>
  <c r="O39" i="17"/>
  <c r="O77" i="17" s="1"/>
  <c r="N39" i="17"/>
  <c r="N77" i="17" s="1"/>
  <c r="V39" i="17"/>
  <c r="V77" i="17" s="1"/>
  <c r="K39" i="17"/>
  <c r="K77" i="17" s="1"/>
  <c r="S39" i="17"/>
  <c r="S77" i="17" s="1"/>
  <c r="H39" i="17"/>
  <c r="H77" i="17" s="1"/>
  <c r="I39" i="17"/>
  <c r="I77" i="17" s="1"/>
  <c r="P39" i="17"/>
  <c r="P77" i="17" s="1"/>
  <c r="I150" i="9"/>
  <c r="CD53" i="9"/>
  <c r="T47" i="17"/>
  <c r="T129" i="17" s="1"/>
  <c r="L47" i="17"/>
  <c r="L129" i="17" s="1"/>
  <c r="Q47" i="17"/>
  <c r="Q129" i="17" s="1"/>
  <c r="I47" i="17"/>
  <c r="I129" i="17" s="1"/>
  <c r="R47" i="17"/>
  <c r="R129" i="17" s="1"/>
  <c r="J47" i="17"/>
  <c r="J129" i="17" s="1"/>
  <c r="U47" i="17"/>
  <c r="U129" i="17" s="1"/>
  <c r="O47" i="17"/>
  <c r="O129" i="17" s="1"/>
  <c r="M47" i="17"/>
  <c r="M129" i="17" s="1"/>
  <c r="G47" i="17"/>
  <c r="G129" i="17" s="1"/>
  <c r="V47" i="17"/>
  <c r="V129" i="17" s="1"/>
  <c r="P47" i="17"/>
  <c r="P129" i="17" s="1"/>
  <c r="N47" i="17"/>
  <c r="N129" i="17" s="1"/>
  <c r="H47" i="17"/>
  <c r="H129" i="17" s="1"/>
  <c r="S47" i="17"/>
  <c r="S129" i="17" s="1"/>
  <c r="K47" i="17"/>
  <c r="K129" i="17" s="1"/>
  <c r="T34" i="17"/>
  <c r="T54" i="17" s="1"/>
  <c r="R34" i="17"/>
  <c r="R54" i="17" s="1"/>
  <c r="L34" i="17"/>
  <c r="L54" i="17" s="1"/>
  <c r="J34" i="17"/>
  <c r="J54" i="17" s="1"/>
  <c r="U34" i="17"/>
  <c r="U54" i="17" s="1"/>
  <c r="M34" i="17"/>
  <c r="M54" i="17" s="1"/>
  <c r="V34" i="17"/>
  <c r="V54" i="17" s="1"/>
  <c r="H34" i="17"/>
  <c r="H54" i="17" s="1"/>
  <c r="Q34" i="17"/>
  <c r="Q54" i="17" s="1"/>
  <c r="N34" i="17"/>
  <c r="N54" i="17" s="1"/>
  <c r="S34" i="17"/>
  <c r="S54" i="17" s="1"/>
  <c r="O34" i="17"/>
  <c r="O54" i="17" s="1"/>
  <c r="G34" i="17"/>
  <c r="G54" i="17" s="1"/>
  <c r="P34" i="17"/>
  <c r="P54" i="17" s="1"/>
  <c r="K34" i="17"/>
  <c r="K54" i="17" s="1"/>
  <c r="I34" i="17"/>
  <c r="I54" i="17" s="1"/>
  <c r="J41" i="17"/>
  <c r="J79" i="17" s="1"/>
  <c r="U41" i="17"/>
  <c r="U79" i="17" s="1"/>
  <c r="O41" i="17"/>
  <c r="O79" i="17" s="1"/>
  <c r="N41" i="17"/>
  <c r="N79" i="17" s="1"/>
  <c r="M41" i="17"/>
  <c r="M79" i="17" s="1"/>
  <c r="G41" i="17"/>
  <c r="G79" i="17" s="1"/>
  <c r="V41" i="17"/>
  <c r="V79" i="17" s="1"/>
  <c r="P41" i="17"/>
  <c r="P79" i="17" s="1"/>
  <c r="H41" i="17"/>
  <c r="H79" i="17" s="1"/>
  <c r="S41" i="17"/>
  <c r="S79" i="17" s="1"/>
  <c r="K41" i="17"/>
  <c r="K79" i="17" s="1"/>
  <c r="L41" i="17"/>
  <c r="L79" i="17" s="1"/>
  <c r="T41" i="17"/>
  <c r="T79" i="17" s="1"/>
  <c r="Q41" i="17"/>
  <c r="Q79" i="17" s="1"/>
  <c r="I41" i="17"/>
  <c r="I79" i="17" s="1"/>
  <c r="R41" i="17"/>
  <c r="R79" i="17" s="1"/>
  <c r="I1" i="1"/>
  <c r="AC1" i="1"/>
  <c r="AC104" i="1" s="1"/>
  <c r="I1" i="2"/>
  <c r="AC1" i="2"/>
  <c r="AC106" i="2" s="1"/>
  <c r="AG9" i="11"/>
  <c r="W10" i="1"/>
  <c r="AU8" i="17"/>
  <c r="CW98" i="9"/>
  <c r="W35" i="1"/>
  <c r="W164" i="1"/>
  <c r="Y167" i="1"/>
  <c r="Y166" i="1"/>
  <c r="Y192" i="6"/>
  <c r="H7" i="5"/>
  <c r="X167" i="1"/>
  <c r="X166" i="1"/>
  <c r="I100" i="9"/>
  <c r="CD47" i="9"/>
  <c r="AF10" i="3"/>
  <c r="AF30" i="3"/>
  <c r="I7" i="5"/>
  <c r="AB192" i="6"/>
  <c r="J7" i="5"/>
  <c r="AE192" i="6"/>
  <c r="O47" i="9"/>
  <c r="N74" i="9"/>
  <c r="N50" i="9"/>
  <c r="CI35" i="9" s="1"/>
  <c r="CI79" i="9" s="1"/>
  <c r="M96" i="9"/>
  <c r="M148" i="9"/>
  <c r="M117" i="9"/>
  <c r="BJ45" i="9"/>
  <c r="BJ90" i="9"/>
  <c r="AD184" i="10"/>
  <c r="AD180" i="10"/>
  <c r="AD182" i="10" s="1"/>
  <c r="AD200" i="10" s="1"/>
  <c r="M20" i="16" s="1"/>
  <c r="Z184" i="10"/>
  <c r="Z180" i="10"/>
  <c r="Z182" i="10" s="1"/>
  <c r="Z199" i="10" s="1"/>
  <c r="I19" i="16" s="1"/>
  <c r="AC180" i="10"/>
  <c r="AC182" i="10" s="1"/>
  <c r="AC184" i="10"/>
  <c r="AC199" i="10"/>
  <c r="L19" i="16" s="1"/>
  <c r="Y180" i="10"/>
  <c r="Y182" i="10" s="1"/>
  <c r="Y199" i="10" s="1"/>
  <c r="H19" i="16" s="1"/>
  <c r="Y184" i="10"/>
  <c r="AB184" i="10"/>
  <c r="AB180" i="10"/>
  <c r="AB182" i="10" s="1"/>
  <c r="AB199" i="10" s="1"/>
  <c r="K19" i="16" s="1"/>
  <c r="X184" i="10"/>
  <c r="X180" i="10"/>
  <c r="X182" i="10" s="1"/>
  <c r="X199" i="10" s="1"/>
  <c r="G19" i="16" s="1"/>
  <c r="AA180" i="10"/>
  <c r="AA182" i="10" s="1"/>
  <c r="AA199" i="10" s="1"/>
  <c r="J19" i="16" s="1"/>
  <c r="AA184" i="10"/>
  <c r="Z200" i="10"/>
  <c r="I20" i="16" s="1"/>
  <c r="AC200" i="10"/>
  <c r="L20" i="16" s="1"/>
  <c r="H120" i="9"/>
  <c r="CC50" i="9"/>
  <c r="P53" i="5"/>
  <c r="AG246" i="4"/>
  <c r="H262" i="4"/>
  <c r="P53" i="9"/>
  <c r="CC51" i="9"/>
  <c r="H121" i="9"/>
  <c r="G40" i="17"/>
  <c r="G78" i="17" s="1"/>
  <c r="I40" i="17"/>
  <c r="I78" i="17" s="1"/>
  <c r="J40" i="17"/>
  <c r="J78" i="17" s="1"/>
  <c r="L40" i="17"/>
  <c r="L78" i="17" s="1"/>
  <c r="K40" i="17"/>
  <c r="K78" i="17" s="1"/>
  <c r="M40" i="17"/>
  <c r="M78" i="17" s="1"/>
  <c r="N40" i="17"/>
  <c r="N78" i="17" s="1"/>
  <c r="T40" i="17"/>
  <c r="T78" i="17" s="1"/>
  <c r="O40" i="17"/>
  <c r="O78" i="17" s="1"/>
  <c r="Q40" i="17"/>
  <c r="Q78" i="17" s="1"/>
  <c r="R40" i="17"/>
  <c r="R78" i="17" s="1"/>
  <c r="H40" i="17"/>
  <c r="H78" i="17" s="1"/>
  <c r="S40" i="17"/>
  <c r="S78" i="17" s="1"/>
  <c r="U40" i="17"/>
  <c r="U78" i="17" s="1"/>
  <c r="V40" i="17"/>
  <c r="V78" i="17" s="1"/>
  <c r="P40" i="17"/>
  <c r="P78" i="17" s="1"/>
  <c r="AM10" i="17"/>
  <c r="CO98" i="9"/>
  <c r="AQ12" i="17"/>
  <c r="CS98" i="9"/>
  <c r="CD48" i="9"/>
  <c r="I118" i="9"/>
  <c r="CC40" i="9"/>
  <c r="H75" i="9"/>
  <c r="M42" i="17"/>
  <c r="M97" i="17" s="1"/>
  <c r="N42" i="17"/>
  <c r="N97" i="17" s="1"/>
  <c r="K42" i="17"/>
  <c r="K97" i="17" s="1"/>
  <c r="L42" i="17"/>
  <c r="L97" i="17" s="1"/>
  <c r="I42" i="17"/>
  <c r="I97" i="17" s="1"/>
  <c r="J42" i="17"/>
  <c r="J97" i="17" s="1"/>
  <c r="G42" i="17"/>
  <c r="G97" i="17" s="1"/>
  <c r="H42" i="17"/>
  <c r="H97" i="17" s="1"/>
  <c r="U42" i="17"/>
  <c r="U97" i="17" s="1"/>
  <c r="V42" i="17"/>
  <c r="V97" i="17" s="1"/>
  <c r="S42" i="17"/>
  <c r="S97" i="17" s="1"/>
  <c r="T42" i="17"/>
  <c r="T97" i="17" s="1"/>
  <c r="Q42" i="17"/>
  <c r="Q97" i="17" s="1"/>
  <c r="R42" i="17"/>
  <c r="R97" i="17" s="1"/>
  <c r="O42" i="17"/>
  <c r="O97" i="17" s="1"/>
  <c r="P42" i="17"/>
  <c r="P97" i="17" s="1"/>
  <c r="I99" i="9"/>
  <c r="CD46" i="9"/>
  <c r="M53" i="5"/>
  <c r="G262" i="4"/>
  <c r="M53" i="9"/>
  <c r="AD246" i="4"/>
  <c r="G53" i="9"/>
  <c r="G53" i="5"/>
  <c r="E262" i="4"/>
  <c r="CE38" i="9"/>
  <c r="J69" i="9"/>
  <c r="CE54" i="9" s="1"/>
  <c r="AU33" i="17"/>
  <c r="AY26" i="17"/>
  <c r="AY27" i="17" s="1"/>
  <c r="H119" i="9"/>
  <c r="CC49" i="9"/>
  <c r="CE61" i="9"/>
  <c r="J69" i="5"/>
  <c r="W166" i="10"/>
  <c r="W35" i="10"/>
  <c r="AL2" i="10"/>
  <c r="AL107" i="10" s="1"/>
  <c r="K2" i="10"/>
  <c r="W34" i="2" l="1"/>
  <c r="W202" i="2"/>
  <c r="O50" i="5"/>
  <c r="CJ58" i="9" s="1"/>
  <c r="P47" i="5"/>
  <c r="O74" i="5"/>
  <c r="N117" i="5"/>
  <c r="N96" i="5"/>
  <c r="N148" i="5"/>
  <c r="CE82" i="9"/>
  <c r="AC10" i="17" s="1"/>
  <c r="CE77" i="9"/>
  <c r="M30" i="17"/>
  <c r="I30" i="17"/>
  <c r="Q30" i="17"/>
  <c r="S30" i="17"/>
  <c r="V30" i="17"/>
  <c r="R30" i="17"/>
  <c r="O30" i="17"/>
  <c r="K30" i="17"/>
  <c r="P30" i="17"/>
  <c r="N30" i="17"/>
  <c r="L30" i="17"/>
  <c r="G30" i="17"/>
  <c r="H30" i="17"/>
  <c r="J30" i="17"/>
  <c r="U30" i="17"/>
  <c r="T30" i="17"/>
  <c r="AG10" i="11"/>
  <c r="W11" i="1"/>
  <c r="Y200" i="10"/>
  <c r="H20" i="16" s="1"/>
  <c r="J1" i="2"/>
  <c r="AD1" i="2"/>
  <c r="AD106" i="2" s="1"/>
  <c r="AF11" i="3"/>
  <c r="AF31" i="3"/>
  <c r="AD1" i="1"/>
  <c r="AD104" i="1" s="1"/>
  <c r="J1" i="1"/>
  <c r="AQ30" i="17"/>
  <c r="AU26" i="17"/>
  <c r="AU27" i="17" s="1"/>
  <c r="W36" i="1"/>
  <c r="W165" i="1"/>
  <c r="N117" i="9"/>
  <c r="N96" i="9"/>
  <c r="N148" i="9"/>
  <c r="O50" i="9"/>
  <c r="CJ35" i="9" s="1"/>
  <c r="CJ79" i="9" s="1"/>
  <c r="O74" i="9"/>
  <c r="P47" i="9"/>
  <c r="H53" i="9"/>
  <c r="I53" i="9"/>
  <c r="CD38" i="9" s="1"/>
  <c r="BJ46" i="9"/>
  <c r="BJ91" i="9"/>
  <c r="AA204" i="10"/>
  <c r="J24" i="16" s="1"/>
  <c r="AA203" i="10"/>
  <c r="J23" i="16" s="1"/>
  <c r="AA202" i="10"/>
  <c r="J22" i="16" s="1"/>
  <c r="AA191" i="10"/>
  <c r="AA201" i="10"/>
  <c r="J21" i="16" s="1"/>
  <c r="AA205" i="10"/>
  <c r="J25" i="16" s="1"/>
  <c r="X203" i="10"/>
  <c r="G23" i="16" s="1"/>
  <c r="X191" i="10"/>
  <c r="X202" i="10"/>
  <c r="G22" i="16" s="1"/>
  <c r="X201" i="10"/>
  <c r="G21" i="16" s="1"/>
  <c r="X205" i="10"/>
  <c r="G25" i="16" s="1"/>
  <c r="X204" i="10"/>
  <c r="G24" i="16" s="1"/>
  <c r="X200" i="10"/>
  <c r="G20" i="16" s="1"/>
  <c r="Y191" i="10"/>
  <c r="Y201" i="10"/>
  <c r="H21" i="16" s="1"/>
  <c r="Y205" i="10"/>
  <c r="H25" i="16" s="1"/>
  <c r="Y202" i="10"/>
  <c r="H22" i="16" s="1"/>
  <c r="Y203" i="10"/>
  <c r="H23" i="16" s="1"/>
  <c r="Y204" i="10"/>
  <c r="H24" i="16" s="1"/>
  <c r="AD191" i="10"/>
  <c r="AD201" i="10"/>
  <c r="M21" i="16" s="1"/>
  <c r="AD205" i="10"/>
  <c r="M25" i="16" s="1"/>
  <c r="AD202" i="10"/>
  <c r="M22" i="16" s="1"/>
  <c r="AD203" i="10"/>
  <c r="M23" i="16" s="1"/>
  <c r="AD204" i="10"/>
  <c r="M24" i="16" s="1"/>
  <c r="AB191" i="10"/>
  <c r="AB201" i="10"/>
  <c r="K21" i="16" s="1"/>
  <c r="AB205" i="10"/>
  <c r="K25" i="16" s="1"/>
  <c r="AB202" i="10"/>
  <c r="K22" i="16" s="1"/>
  <c r="AB203" i="10"/>
  <c r="K23" i="16" s="1"/>
  <c r="AB204" i="10"/>
  <c r="K24" i="16" s="1"/>
  <c r="AA200" i="10"/>
  <c r="J20" i="16" s="1"/>
  <c r="AB200" i="10"/>
  <c r="K20" i="16" s="1"/>
  <c r="AC204" i="10"/>
  <c r="L24" i="16" s="1"/>
  <c r="AC203" i="10"/>
  <c r="L23" i="16" s="1"/>
  <c r="AC202" i="10"/>
  <c r="L22" i="16" s="1"/>
  <c r="AC191" i="10"/>
  <c r="AC201" i="10"/>
  <c r="L21" i="16" s="1"/>
  <c r="AC205" i="10"/>
  <c r="L25" i="16" s="1"/>
  <c r="Z191" i="10"/>
  <c r="Z201" i="10"/>
  <c r="I21" i="16" s="1"/>
  <c r="Z205" i="10"/>
  <c r="I25" i="16" s="1"/>
  <c r="Z202" i="10"/>
  <c r="I22" i="16" s="1"/>
  <c r="Z203" i="10"/>
  <c r="I23" i="16" s="1"/>
  <c r="Z204" i="10"/>
  <c r="I24" i="16" s="1"/>
  <c r="AD199" i="10"/>
  <c r="M19" i="16" s="1"/>
  <c r="CB61" i="9"/>
  <c r="G69" i="5"/>
  <c r="AM34" i="17"/>
  <c r="AM54" i="17" s="1"/>
  <c r="AQ26" i="17"/>
  <c r="AQ27" i="17" s="1"/>
  <c r="AI32" i="17"/>
  <c r="AM26" i="17"/>
  <c r="AM27" i="17" s="1"/>
  <c r="P69" i="5"/>
  <c r="CK61" i="9"/>
  <c r="CB38" i="9"/>
  <c r="G69" i="9"/>
  <c r="O53" i="9"/>
  <c r="M69" i="9"/>
  <c r="CH54" i="9" s="1"/>
  <c r="N53" i="9"/>
  <c r="CH38" i="9"/>
  <c r="N53" i="5"/>
  <c r="M69" i="5"/>
  <c r="O53" i="5"/>
  <c r="CH61" i="9"/>
  <c r="CC46" i="9"/>
  <c r="H99" i="9"/>
  <c r="H118" i="9"/>
  <c r="CC48" i="9"/>
  <c r="P69" i="9"/>
  <c r="CK54" i="9" s="1"/>
  <c r="CK38" i="9"/>
  <c r="AM2" i="10"/>
  <c r="AM107" i="10" s="1"/>
  <c r="L2" i="10"/>
  <c r="W167" i="10"/>
  <c r="W36" i="10"/>
  <c r="CB54" i="9" l="1"/>
  <c r="CK82" i="9"/>
  <c r="CK77" i="9"/>
  <c r="CH82" i="9"/>
  <c r="CH77" i="9"/>
  <c r="O117" i="5"/>
  <c r="O96" i="5"/>
  <c r="O148" i="5"/>
  <c r="P50" i="5"/>
  <c r="CK58" i="9" s="1"/>
  <c r="Q47" i="5"/>
  <c r="P74" i="5"/>
  <c r="CE98" i="9"/>
  <c r="CB82" i="9"/>
  <c r="CB77" i="9"/>
  <c r="W35" i="2"/>
  <c r="W203" i="2"/>
  <c r="I69" i="9"/>
  <c r="CD54" i="9" s="1"/>
  <c r="AF12" i="3"/>
  <c r="AF32" i="3"/>
  <c r="W37" i="1"/>
  <c r="W166" i="1"/>
  <c r="AE1" i="2"/>
  <c r="AE106" i="2" s="1"/>
  <c r="K1" i="2"/>
  <c r="AG11" i="11"/>
  <c r="W12" i="1"/>
  <c r="K1" i="1"/>
  <c r="AE1" i="1"/>
  <c r="AE104" i="1" s="1"/>
  <c r="Q47" i="9"/>
  <c r="P74" i="9"/>
  <c r="P50" i="9"/>
  <c r="CK35" i="9" s="1"/>
  <c r="CK79" i="9" s="1"/>
  <c r="O96" i="9"/>
  <c r="O148" i="9"/>
  <c r="O117" i="9"/>
  <c r="BJ47" i="9"/>
  <c r="BJ92" i="9"/>
  <c r="I11" i="16"/>
  <c r="Z207" i="10"/>
  <c r="K11" i="16"/>
  <c r="AB207" i="10"/>
  <c r="M11" i="16"/>
  <c r="AD207" i="10"/>
  <c r="H11" i="16"/>
  <c r="Y207" i="10"/>
  <c r="G11" i="16"/>
  <c r="X207" i="10"/>
  <c r="J11" i="16"/>
  <c r="AA207" i="10"/>
  <c r="L11" i="16"/>
  <c r="AC207" i="10"/>
  <c r="CJ61" i="9"/>
  <c r="CJ82" i="9" s="1"/>
  <c r="CI61" i="9"/>
  <c r="CI82" i="9" s="1"/>
  <c r="CI38" i="9"/>
  <c r="CJ38" i="9"/>
  <c r="CH98" i="9"/>
  <c r="AF10" i="17"/>
  <c r="CK98" i="9"/>
  <c r="AI10" i="17"/>
  <c r="Z10" i="17"/>
  <c r="X10" i="17" s="1"/>
  <c r="CB98" i="9"/>
  <c r="CC38" i="9"/>
  <c r="H69" i="9"/>
  <c r="Y32" i="17"/>
  <c r="AC26" i="17"/>
  <c r="AC27" i="17" s="1"/>
  <c r="W168" i="10"/>
  <c r="W37" i="10"/>
  <c r="AN2" i="10"/>
  <c r="AN107" i="10" s="1"/>
  <c r="M2" i="10"/>
  <c r="W204" i="2" l="1"/>
  <c r="W36" i="2"/>
  <c r="Q74" i="5"/>
  <c r="Q50" i="5"/>
  <c r="CL58" i="9" s="1"/>
  <c r="R47" i="5"/>
  <c r="P96" i="5"/>
  <c r="P117" i="5"/>
  <c r="P148" i="5"/>
  <c r="AG12" i="11"/>
  <c r="W13" i="1"/>
  <c r="AF1" i="2"/>
  <c r="AF106" i="2" s="1"/>
  <c r="L1" i="2"/>
  <c r="W167" i="1"/>
  <c r="W38" i="1"/>
  <c r="AF33" i="3"/>
  <c r="AF13" i="3"/>
  <c r="L1" i="1"/>
  <c r="AF1" i="1"/>
  <c r="AF104" i="1" s="1"/>
  <c r="P117" i="9"/>
  <c r="P96" i="9"/>
  <c r="P148" i="9"/>
  <c r="R47" i="9"/>
  <c r="Q50" i="9"/>
  <c r="CL35" i="9" s="1"/>
  <c r="CL79" i="9" s="1"/>
  <c r="Q74" i="9"/>
  <c r="BJ93" i="9"/>
  <c r="BJ48" i="9"/>
  <c r="L26" i="16"/>
  <c r="L27" i="16" s="1"/>
  <c r="J26" i="16"/>
  <c r="J27" i="16" s="1"/>
  <c r="G26" i="16"/>
  <c r="G27" i="16" s="1"/>
  <c r="H26" i="16"/>
  <c r="H27" i="16" s="1"/>
  <c r="M26" i="16"/>
  <c r="M27" i="16" s="1"/>
  <c r="K26" i="16"/>
  <c r="K27" i="16" s="1"/>
  <c r="I26" i="16"/>
  <c r="I27" i="16" s="1"/>
  <c r="AE32" i="17"/>
  <c r="AI26" i="17"/>
  <c r="AI27" i="17" s="1"/>
  <c r="AB32" i="17"/>
  <c r="AF26" i="17"/>
  <c r="AF27" i="17" s="1"/>
  <c r="AH10" i="17"/>
  <c r="G32" i="17"/>
  <c r="H32" i="17"/>
  <c r="I32" i="17"/>
  <c r="J32" i="17"/>
  <c r="K32" i="17"/>
  <c r="L32" i="17"/>
  <c r="M32" i="17"/>
  <c r="N32" i="17"/>
  <c r="O32" i="17"/>
  <c r="P32" i="17"/>
  <c r="Q32" i="17"/>
  <c r="R32" i="17"/>
  <c r="S32" i="17"/>
  <c r="T32" i="17"/>
  <c r="U32" i="17"/>
  <c r="V32" i="17"/>
  <c r="AG10" i="17"/>
  <c r="CC54" i="9"/>
  <c r="AO2" i="10"/>
  <c r="N2" i="10"/>
  <c r="O2" i="10" s="1"/>
  <c r="P2" i="10" s="1"/>
  <c r="Q2" i="10" s="1"/>
  <c r="W169" i="10"/>
  <c r="W38" i="10"/>
  <c r="R50" i="5" l="1"/>
  <c r="CM58" i="9" s="1"/>
  <c r="S47" i="5"/>
  <c r="R74" i="5"/>
  <c r="Q96" i="5"/>
  <c r="Q117" i="5"/>
  <c r="Q148" i="5"/>
  <c r="W37" i="2"/>
  <c r="W205" i="2"/>
  <c r="AF14" i="3"/>
  <c r="AF34" i="3"/>
  <c r="W39" i="1"/>
  <c r="W168" i="1"/>
  <c r="M1" i="2"/>
  <c r="AG1" i="2"/>
  <c r="AG106" i="2" s="1"/>
  <c r="AG1" i="1"/>
  <c r="AG104" i="1" s="1"/>
  <c r="M1" i="1"/>
  <c r="AG13" i="11"/>
  <c r="W14" i="1"/>
  <c r="Q117" i="9"/>
  <c r="Q96" i="9"/>
  <c r="Q148" i="9"/>
  <c r="R74" i="9"/>
  <c r="R50" i="9"/>
  <c r="CM35" i="9" s="1"/>
  <c r="CM79" i="9" s="1"/>
  <c r="S47" i="9"/>
  <c r="BJ49" i="9"/>
  <c r="BJ94" i="9"/>
  <c r="AC32" i="17"/>
  <c r="AD32" i="17"/>
  <c r="W170" i="10"/>
  <c r="W39" i="10"/>
  <c r="W206" i="2" l="1"/>
  <c r="W38" i="2"/>
  <c r="R117" i="5"/>
  <c r="R148" i="5"/>
  <c r="R96" i="5"/>
  <c r="S50" i="5"/>
  <c r="CN58" i="9" s="1"/>
  <c r="T47" i="5"/>
  <c r="S74" i="5"/>
  <c r="AG14" i="11"/>
  <c r="W15" i="1"/>
  <c r="AH1" i="1"/>
  <c r="N1" i="1"/>
  <c r="O1" i="1" s="1"/>
  <c r="P1" i="1" s="1"/>
  <c r="Q1" i="1" s="1"/>
  <c r="N1" i="2"/>
  <c r="AH1" i="2"/>
  <c r="W169" i="1"/>
  <c r="W40" i="1"/>
  <c r="AF35" i="3"/>
  <c r="AF15" i="3"/>
  <c r="S50" i="9"/>
  <c r="CN35" i="9" s="1"/>
  <c r="CN79" i="9" s="1"/>
  <c r="S74" i="9"/>
  <c r="T47" i="9"/>
  <c r="R117" i="9"/>
  <c r="R96" i="9"/>
  <c r="R148" i="9"/>
  <c r="BJ50" i="9"/>
  <c r="BJ95" i="9"/>
  <c r="W171" i="10"/>
  <c r="W40" i="10"/>
  <c r="U47" i="5" l="1"/>
  <c r="T74" i="5"/>
  <c r="T50" i="5"/>
  <c r="CO58" i="9" s="1"/>
  <c r="S148" i="5"/>
  <c r="S117" i="5"/>
  <c r="S96" i="5"/>
  <c r="W207" i="2"/>
  <c r="W39" i="2"/>
  <c r="W41" i="1"/>
  <c r="W170" i="1"/>
  <c r="AI1" i="2"/>
  <c r="O1" i="2"/>
  <c r="P1" i="2" s="1"/>
  <c r="Q1" i="2" s="1"/>
  <c r="AF16" i="3"/>
  <c r="AF36" i="3"/>
  <c r="AG15" i="11"/>
  <c r="W16" i="1"/>
  <c r="S117" i="9"/>
  <c r="S96" i="9"/>
  <c r="S148" i="9"/>
  <c r="T74" i="9"/>
  <c r="T50" i="9"/>
  <c r="CO35" i="9" s="1"/>
  <c r="CO79" i="9" s="1"/>
  <c r="U47" i="9"/>
  <c r="BJ51" i="9"/>
  <c r="BJ96" i="9"/>
  <c r="W172" i="10"/>
  <c r="W41" i="10"/>
  <c r="T148" i="5" l="1"/>
  <c r="T96" i="5"/>
  <c r="T117" i="5"/>
  <c r="W40" i="2"/>
  <c r="W208" i="2"/>
  <c r="U74" i="5"/>
  <c r="V47" i="5"/>
  <c r="U50" i="5"/>
  <c r="CP58" i="9" s="1"/>
  <c r="AF37" i="3"/>
  <c r="AF17" i="3"/>
  <c r="AG16" i="11"/>
  <c r="W17" i="1"/>
  <c r="W42" i="1"/>
  <c r="W172" i="1" s="1"/>
  <c r="W171" i="1"/>
  <c r="V47" i="9"/>
  <c r="U50" i="9"/>
  <c r="CP35" i="9" s="1"/>
  <c r="CP79" i="9" s="1"/>
  <c r="U74" i="9"/>
  <c r="T96" i="9"/>
  <c r="T148" i="9"/>
  <c r="T117" i="9"/>
  <c r="BJ52" i="9"/>
  <c r="BJ97" i="9"/>
  <c r="W173" i="10"/>
  <c r="W42" i="10"/>
  <c r="W209" i="2" l="1"/>
  <c r="W41" i="2"/>
  <c r="V74" i="5"/>
  <c r="V50" i="5"/>
  <c r="CQ58" i="9" s="1"/>
  <c r="W47" i="5"/>
  <c r="U148" i="5"/>
  <c r="U96" i="5"/>
  <c r="U117" i="5"/>
  <c r="AG17" i="11"/>
  <c r="W18" i="1"/>
  <c r="AF38" i="3"/>
  <c r="AF18" i="3"/>
  <c r="U117" i="9"/>
  <c r="U96" i="9"/>
  <c r="U148" i="9"/>
  <c r="V74" i="9"/>
  <c r="V50" i="9"/>
  <c r="CQ35" i="9" s="1"/>
  <c r="CQ79" i="9" s="1"/>
  <c r="W47" i="9"/>
  <c r="BJ98" i="9"/>
  <c r="BJ53" i="9"/>
  <c r="W174" i="10"/>
  <c r="W43" i="10"/>
  <c r="W175" i="10" s="1"/>
  <c r="V117" i="5" l="1"/>
  <c r="V96" i="5"/>
  <c r="V148" i="5"/>
  <c r="W42" i="2"/>
  <c r="W211" i="2" s="1"/>
  <c r="W210" i="2"/>
  <c r="X47" i="5"/>
  <c r="W74" i="5"/>
  <c r="W50" i="5"/>
  <c r="CR58" i="9" s="1"/>
  <c r="AF19" i="3"/>
  <c r="AF40" i="3" s="1"/>
  <c r="AF39" i="3"/>
  <c r="AG18" i="11"/>
  <c r="W19" i="1"/>
  <c r="AG19" i="11" s="1"/>
  <c r="W50" i="9"/>
  <c r="CR35" i="9" s="1"/>
  <c r="CR79" i="9" s="1"/>
  <c r="W74" i="9"/>
  <c r="X47" i="9"/>
  <c r="V117" i="9"/>
  <c r="V96" i="9"/>
  <c r="V148" i="9"/>
  <c r="BJ99" i="9"/>
  <c r="BJ54" i="9"/>
  <c r="X74" i="5" l="1"/>
  <c r="X50" i="5"/>
  <c r="CS58" i="9" s="1"/>
  <c r="Y47" i="5"/>
  <c r="W96" i="5"/>
  <c r="W117" i="5"/>
  <c r="W148" i="5"/>
  <c r="W96" i="9"/>
  <c r="W148" i="9"/>
  <c r="W117" i="9"/>
  <c r="Y47" i="9"/>
  <c r="X74" i="9"/>
  <c r="X50" i="9"/>
  <c r="CS35" i="9" s="1"/>
  <c r="CS79" i="9" s="1"/>
  <c r="BJ100" i="9"/>
  <c r="BJ55" i="9"/>
  <c r="Y74" i="5" l="1"/>
  <c r="Z47" i="5"/>
  <c r="Y50" i="5"/>
  <c r="CT58" i="9" s="1"/>
  <c r="X96" i="5"/>
  <c r="X148" i="5"/>
  <c r="X117" i="5"/>
  <c r="Z47" i="9"/>
  <c r="Y50" i="9"/>
  <c r="CT35" i="9" s="1"/>
  <c r="CT79" i="9" s="1"/>
  <c r="Y74" i="9"/>
  <c r="X117" i="9"/>
  <c r="X96" i="9"/>
  <c r="X148" i="9"/>
  <c r="BJ101" i="9"/>
  <c r="BJ56" i="9"/>
  <c r="Z50" i="5" l="1"/>
  <c r="CU58" i="9" s="1"/>
  <c r="AA47" i="5"/>
  <c r="Z74" i="5"/>
  <c r="Y148" i="5"/>
  <c r="Y117" i="5"/>
  <c r="Y96" i="5"/>
  <c r="Y117" i="9"/>
  <c r="Y96" i="9"/>
  <c r="Y148" i="9"/>
  <c r="Z74" i="9"/>
  <c r="Z50" i="9"/>
  <c r="CU35" i="9" s="1"/>
  <c r="CU79" i="9" s="1"/>
  <c r="AA47" i="9"/>
  <c r="BJ57" i="9"/>
  <c r="BJ102" i="9"/>
  <c r="Z96" i="5" l="1"/>
  <c r="Z117" i="5"/>
  <c r="Z148" i="5"/>
  <c r="AA50" i="5"/>
  <c r="CV58" i="9" s="1"/>
  <c r="AA74" i="5"/>
  <c r="AB47" i="5"/>
  <c r="AB47" i="9"/>
  <c r="AA50" i="9"/>
  <c r="CV35" i="9" s="1"/>
  <c r="CV79" i="9" s="1"/>
  <c r="AA74" i="9"/>
  <c r="Z117" i="9"/>
  <c r="Z96" i="9"/>
  <c r="Z148" i="9"/>
  <c r="BJ58" i="9"/>
  <c r="BJ103" i="9"/>
  <c r="AC47" i="5" l="1"/>
  <c r="AB50" i="5"/>
  <c r="CW58" i="9" s="1"/>
  <c r="AB74" i="5"/>
  <c r="AA96" i="5"/>
  <c r="AA148" i="5"/>
  <c r="AA117" i="5"/>
  <c r="AA96" i="9"/>
  <c r="AA148" i="9"/>
  <c r="AA117" i="9"/>
  <c r="AB74" i="9"/>
  <c r="AB50" i="9"/>
  <c r="CW35" i="9" s="1"/>
  <c r="CW79" i="9" s="1"/>
  <c r="AC47" i="9"/>
  <c r="BJ104" i="9"/>
  <c r="BJ59" i="9"/>
  <c r="AB96" i="5" l="1"/>
  <c r="AB117" i="5"/>
  <c r="AB148" i="5"/>
  <c r="AD47" i="5"/>
  <c r="AC74" i="5"/>
  <c r="AC50" i="5"/>
  <c r="CX58" i="9" s="1"/>
  <c r="AD47" i="9"/>
  <c r="AC50" i="9"/>
  <c r="CX35" i="9" s="1"/>
  <c r="CX79" i="9" s="1"/>
  <c r="AC74" i="9"/>
  <c r="AB117" i="9"/>
  <c r="AB96" i="9"/>
  <c r="AB148" i="9"/>
  <c r="BJ60" i="9"/>
  <c r="BJ61" i="9" s="1"/>
  <c r="BJ105" i="9"/>
  <c r="AE47" i="5" l="1"/>
  <c r="AD50" i="5"/>
  <c r="CY58" i="9" s="1"/>
  <c r="AD74" i="5"/>
  <c r="AC96" i="5"/>
  <c r="AC117" i="5"/>
  <c r="AC148" i="5"/>
  <c r="AC96" i="9"/>
  <c r="AC117" i="9"/>
  <c r="AC148" i="9"/>
  <c r="AD74" i="9"/>
  <c r="AD50" i="9"/>
  <c r="CY35" i="9" s="1"/>
  <c r="CY79" i="9" s="1"/>
  <c r="AE47" i="9"/>
  <c r="AD96" i="5" l="1"/>
  <c r="AD117" i="5"/>
  <c r="AD148" i="5"/>
  <c r="AE74" i="5"/>
  <c r="AF47" i="5"/>
  <c r="AE50" i="5"/>
  <c r="CZ58" i="9" s="1"/>
  <c r="AF47" i="9"/>
  <c r="AG47" i="9" s="1"/>
  <c r="AG74" i="9" s="1"/>
  <c r="AE74" i="9"/>
  <c r="AE50" i="9"/>
  <c r="AD117" i="9"/>
  <c r="AD96" i="9"/>
  <c r="AD148" i="9"/>
  <c r="AF50" i="5" l="1"/>
  <c r="DA58" i="9" s="1"/>
  <c r="AF74" i="5"/>
  <c r="AE148" i="5"/>
  <c r="AE96" i="5"/>
  <c r="AE117" i="5"/>
  <c r="AG148" i="9"/>
  <c r="AG117" i="9"/>
  <c r="AG96" i="9"/>
  <c r="AE96" i="9"/>
  <c r="AE117" i="9"/>
  <c r="AE148" i="9"/>
  <c r="AF50" i="9"/>
  <c r="AF74" i="9"/>
  <c r="AF148" i="5" l="1"/>
  <c r="AF117" i="5"/>
  <c r="AF96" i="5"/>
  <c r="AF117" i="9"/>
  <c r="AF148" i="9"/>
  <c r="AF96" i="9"/>
  <c r="K31" i="5" l="1"/>
  <c r="K54" i="5" s="1"/>
  <c r="CF62" i="9" s="1"/>
  <c r="CF83" i="9" s="1"/>
  <c r="AD11" i="17" s="1"/>
  <c r="Z33" i="17" s="1"/>
  <c r="K35" i="5"/>
  <c r="K58" i="5" s="1"/>
  <c r="O33" i="5"/>
  <c r="O56" i="5" s="1"/>
  <c r="O32" i="5" l="1"/>
  <c r="O55" i="5" s="1"/>
  <c r="CJ63" i="9" s="1"/>
  <c r="CJ84" i="9" s="1"/>
  <c r="AH12" i="17" s="1"/>
  <c r="AD34" i="17" s="1"/>
  <c r="AD54" i="17" s="1"/>
  <c r="L37" i="5"/>
  <c r="L60" i="5" s="1"/>
  <c r="L34" i="5"/>
  <c r="L57" i="5" s="1"/>
  <c r="L77" i="5" s="1"/>
  <c r="K29" i="5"/>
  <c r="K52" i="5" s="1"/>
  <c r="CF60" i="9" s="1"/>
  <c r="CF81" i="9" s="1"/>
  <c r="AD9" i="17" s="1"/>
  <c r="Z31" i="17" s="1"/>
  <c r="N34" i="5"/>
  <c r="N57" i="5" s="1"/>
  <c r="CI65" i="9" s="1"/>
  <c r="L30" i="5"/>
  <c r="L53" i="5" s="1"/>
  <c r="CG61" i="9" s="1"/>
  <c r="CG82" i="9" s="1"/>
  <c r="AE10" i="17" s="1"/>
  <c r="AA32" i="17" s="1"/>
  <c r="O29" i="5"/>
  <c r="O52" i="5" s="1"/>
  <c r="CJ60" i="9" s="1"/>
  <c r="CJ81" i="9" s="1"/>
  <c r="AH9" i="17" s="1"/>
  <c r="AD31" i="17" s="1"/>
  <c r="O34" i="5"/>
  <c r="O57" i="5" s="1"/>
  <c r="CJ65" i="9" s="1"/>
  <c r="O44" i="5"/>
  <c r="O67" i="5" s="1"/>
  <c r="CJ75" i="9" s="1"/>
  <c r="CJ96" i="9" s="1"/>
  <c r="AH24" i="17" s="1"/>
  <c r="AD46" i="17" s="1"/>
  <c r="AD128" i="17" s="1"/>
  <c r="L44" i="5"/>
  <c r="L67" i="5" s="1"/>
  <c r="L149" i="5" s="1"/>
  <c r="O36" i="5"/>
  <c r="O59" i="5" s="1"/>
  <c r="CJ67" i="9" s="1"/>
  <c r="CJ88" i="9" s="1"/>
  <c r="AH16" i="17" s="1"/>
  <c r="AD38" i="17" s="1"/>
  <c r="AD76" i="17" s="1"/>
  <c r="O31" i="5"/>
  <c r="O54" i="5" s="1"/>
  <c r="CJ62" i="9" s="1"/>
  <c r="CJ83" i="9" s="1"/>
  <c r="AH11" i="17" s="1"/>
  <c r="AD33" i="17" s="1"/>
  <c r="L32" i="5"/>
  <c r="L55" i="5" s="1"/>
  <c r="L75" i="5" s="1"/>
  <c r="N32" i="5"/>
  <c r="N55" i="5" s="1"/>
  <c r="O37" i="5"/>
  <c r="O60" i="5" s="1"/>
  <c r="CJ68" i="9" s="1"/>
  <c r="CJ89" i="9" s="1"/>
  <c r="AH17" i="17" s="1"/>
  <c r="AD39" i="17" s="1"/>
  <c r="AD77" i="17" s="1"/>
  <c r="L35" i="5"/>
  <c r="L58" i="5" s="1"/>
  <c r="L78" i="5" s="1"/>
  <c r="L31" i="5"/>
  <c r="L54" i="5" s="1"/>
  <c r="CG62" i="9" s="1"/>
  <c r="CG83" i="9" s="1"/>
  <c r="AE11" i="17" s="1"/>
  <c r="AA33" i="17" s="1"/>
  <c r="L29" i="5"/>
  <c r="L52" i="5" s="1"/>
  <c r="CG60" i="9" s="1"/>
  <c r="CG81" i="9" s="1"/>
  <c r="AE9" i="17" s="1"/>
  <c r="AA31" i="17" s="1"/>
  <c r="N35" i="5"/>
  <c r="N58" i="5" s="1"/>
  <c r="CI66" i="9" s="1"/>
  <c r="N29" i="5"/>
  <c r="N52" i="5" s="1"/>
  <c r="CI60" i="9" s="1"/>
  <c r="CI81" i="9" s="1"/>
  <c r="AG9" i="17" s="1"/>
  <c r="AC31" i="17" s="1"/>
  <c r="K37" i="5"/>
  <c r="K60" i="5" s="1"/>
  <c r="K98" i="5" s="1"/>
  <c r="K34" i="5"/>
  <c r="K57" i="5" s="1"/>
  <c r="CF65" i="9" s="1"/>
  <c r="K32" i="5"/>
  <c r="K55" i="5" s="1"/>
  <c r="CF63" i="9" s="1"/>
  <c r="CF84" i="9" s="1"/>
  <c r="AD12" i="17" s="1"/>
  <c r="Z34" i="17" s="1"/>
  <c r="Z54" i="17" s="1"/>
  <c r="K30" i="5"/>
  <c r="K53" i="5" s="1"/>
  <c r="CF61" i="9" s="1"/>
  <c r="CF82" i="9" s="1"/>
  <c r="AD10" i="17" s="1"/>
  <c r="Z32" i="17" s="1"/>
  <c r="O35" i="5"/>
  <c r="O58" i="5" s="1"/>
  <c r="O78" i="5" s="1"/>
  <c r="CJ64" i="9"/>
  <c r="CJ85" i="9" s="1"/>
  <c r="AH13" i="17" s="1"/>
  <c r="AD35" i="17" s="1"/>
  <c r="AD55" i="17" s="1"/>
  <c r="O76" i="5"/>
  <c r="O98" i="5"/>
  <c r="O75" i="5"/>
  <c r="CG65" i="9"/>
  <c r="CG63" i="9"/>
  <c r="CG84" i="9" s="1"/>
  <c r="AE12" i="17" s="1"/>
  <c r="AA34" i="17" s="1"/>
  <c r="AA54" i="17" s="1"/>
  <c r="CG66" i="9"/>
  <c r="N33" i="5"/>
  <c r="N56" i="5" s="1"/>
  <c r="CF66" i="9"/>
  <c r="K78" i="5"/>
  <c r="N36" i="5"/>
  <c r="N59" i="5" s="1"/>
  <c r="CI63" i="9"/>
  <c r="CI84" i="9" s="1"/>
  <c r="AG12" i="17" s="1"/>
  <c r="AC34" i="17" s="1"/>
  <c r="AC54" i="17" s="1"/>
  <c r="N75" i="5"/>
  <c r="K44" i="5"/>
  <c r="K67" i="5" s="1"/>
  <c r="L33" i="5"/>
  <c r="L56" i="5" s="1"/>
  <c r="N37" i="5"/>
  <c r="N60" i="5" s="1"/>
  <c r="N31" i="5"/>
  <c r="N54" i="5" s="1"/>
  <c r="CI62" i="9" s="1"/>
  <c r="CI83" i="9" s="1"/>
  <c r="AG11" i="17" s="1"/>
  <c r="AC33" i="17" s="1"/>
  <c r="N44" i="5"/>
  <c r="N67" i="5" s="1"/>
  <c r="CG68" i="9"/>
  <c r="CG89" i="9" s="1"/>
  <c r="AE17" i="17" s="1"/>
  <c r="AA39" i="17" s="1"/>
  <c r="AA77" i="17" s="1"/>
  <c r="L98" i="5"/>
  <c r="K33" i="5"/>
  <c r="K56" i="5" s="1"/>
  <c r="N77" i="5" l="1"/>
  <c r="CJ66" i="9"/>
  <c r="O77" i="5"/>
  <c r="K77" i="5"/>
  <c r="N78" i="5"/>
  <c r="K75" i="5"/>
  <c r="O97" i="5"/>
  <c r="CG75" i="9"/>
  <c r="CG96" i="9" s="1"/>
  <c r="AE24" i="17" s="1"/>
  <c r="AA46" i="17" s="1"/>
  <c r="AA128" i="17" s="1"/>
  <c r="CF68" i="9"/>
  <c r="CF89" i="9" s="1"/>
  <c r="AD17" i="17" s="1"/>
  <c r="Z39" i="17" s="1"/>
  <c r="Z77" i="17" s="1"/>
  <c r="O149" i="5"/>
  <c r="N149" i="5"/>
  <c r="CI75" i="9"/>
  <c r="CI96" i="9" s="1"/>
  <c r="AG24" i="17" s="1"/>
  <c r="AC46" i="17" s="1"/>
  <c r="AC128" i="17" s="1"/>
  <c r="K76" i="5"/>
  <c r="CF64" i="9"/>
  <c r="CF85" i="9" s="1"/>
  <c r="AD13" i="17" s="1"/>
  <c r="Z35" i="17" s="1"/>
  <c r="Z55" i="17" s="1"/>
  <c r="CG64" i="9"/>
  <c r="CG85" i="9" s="1"/>
  <c r="AE13" i="17" s="1"/>
  <c r="AA35" i="17" s="1"/>
  <c r="AA55" i="17" s="1"/>
  <c r="L76" i="5"/>
  <c r="CI67" i="9"/>
  <c r="CI88" i="9" s="1"/>
  <c r="AG16" i="17" s="1"/>
  <c r="AC38" i="17" s="1"/>
  <c r="AC76" i="17" s="1"/>
  <c r="N97" i="5"/>
  <c r="CI68" i="9"/>
  <c r="CI89" i="9" s="1"/>
  <c r="AG17" i="17" s="1"/>
  <c r="AC39" i="17" s="1"/>
  <c r="AC77" i="17" s="1"/>
  <c r="N98" i="5"/>
  <c r="K149" i="5"/>
  <c r="CF75" i="9"/>
  <c r="CF96" i="9" s="1"/>
  <c r="AD24" i="17" s="1"/>
  <c r="Z46" i="17" s="1"/>
  <c r="Z128" i="17" s="1"/>
  <c r="CI64" i="9"/>
  <c r="CI85" i="9" s="1"/>
  <c r="AG13" i="17" s="1"/>
  <c r="AC35" i="17" s="1"/>
  <c r="AC55" i="17" s="1"/>
  <c r="N76" i="5"/>
  <c r="K38" i="5" l="1"/>
  <c r="K61" i="5" s="1"/>
  <c r="L38" i="5"/>
  <c r="L61" i="5" s="1"/>
  <c r="L99" i="5" l="1"/>
  <c r="CG69" i="9"/>
  <c r="CG90" i="9" s="1"/>
  <c r="AE18" i="17" s="1"/>
  <c r="AA40" i="17" s="1"/>
  <c r="AA78" i="17" s="1"/>
  <c r="K99" i="5"/>
  <c r="CF69" i="9"/>
  <c r="CF90" i="9" s="1"/>
  <c r="AD18" i="17" s="1"/>
  <c r="Z40" i="17" s="1"/>
  <c r="Z78" i="17" s="1"/>
  <c r="N38" i="5"/>
  <c r="N61" i="5" s="1"/>
  <c r="O38" i="5"/>
  <c r="O61" i="5" s="1"/>
  <c r="O99" i="5" l="1"/>
  <c r="CJ69" i="9"/>
  <c r="CJ90" i="9" s="1"/>
  <c r="AH18" i="17" s="1"/>
  <c r="AD40" i="17" s="1"/>
  <c r="AD78" i="17" s="1"/>
  <c r="N99" i="5"/>
  <c r="CI69" i="9"/>
  <c r="CI90" i="9" s="1"/>
  <c r="AG18" i="17" s="1"/>
  <c r="AC40" i="17" s="1"/>
  <c r="AC78" i="17" s="1"/>
  <c r="K42" i="5" l="1"/>
  <c r="K65" i="5" s="1"/>
  <c r="CF73" i="9" s="1"/>
  <c r="CF94" i="9" s="1"/>
  <c r="AD22" i="17" s="1"/>
  <c r="Z44" i="17" s="1"/>
  <c r="Z99" i="17" s="1"/>
  <c r="O43" i="5"/>
  <c r="O66" i="5" s="1"/>
  <c r="K45" i="5"/>
  <c r="K68" i="5" s="1"/>
  <c r="K28" i="5"/>
  <c r="N43" i="5"/>
  <c r="N66" i="5" s="1"/>
  <c r="O121" i="5"/>
  <c r="CJ74" i="9"/>
  <c r="CJ95" i="9" s="1"/>
  <c r="AH23" i="17" s="1"/>
  <c r="AD45" i="17" s="1"/>
  <c r="AD100" i="17" s="1"/>
  <c r="K150" i="5"/>
  <c r="CF76" i="9"/>
  <c r="CF97" i="9" s="1"/>
  <c r="AD25" i="17" s="1"/>
  <c r="Z47" i="17" s="1"/>
  <c r="Z129" i="17" s="1"/>
  <c r="O42" i="5"/>
  <c r="O65" i="5" s="1"/>
  <c r="O39" i="5"/>
  <c r="O62" i="5" s="1"/>
  <c r="O41" i="5"/>
  <c r="O64" i="5" s="1"/>
  <c r="L45" i="5"/>
  <c r="L68" i="5" s="1"/>
  <c r="L42" i="5"/>
  <c r="L65" i="5" s="1"/>
  <c r="N39" i="5"/>
  <c r="N62" i="5" s="1"/>
  <c r="N41" i="5"/>
  <c r="N64" i="5" s="1"/>
  <c r="N45" i="5"/>
  <c r="N68" i="5" s="1"/>
  <c r="N40" i="5"/>
  <c r="N63" i="5" s="1"/>
  <c r="N42" i="5"/>
  <c r="N65" i="5" s="1"/>
  <c r="O40" i="5"/>
  <c r="O63" i="5" s="1"/>
  <c r="O45" i="5"/>
  <c r="O68" i="5" s="1"/>
  <c r="L28" i="5"/>
  <c r="K120" i="5" l="1"/>
  <c r="L49" i="5"/>
  <c r="L51" i="5"/>
  <c r="CJ76" i="9"/>
  <c r="CJ97" i="9" s="1"/>
  <c r="AH25" i="17" s="1"/>
  <c r="AD47" i="17" s="1"/>
  <c r="AD129" i="17" s="1"/>
  <c r="O150" i="5"/>
  <c r="CI73" i="9"/>
  <c r="CI94" i="9" s="1"/>
  <c r="AG22" i="17" s="1"/>
  <c r="AC44" i="17" s="1"/>
  <c r="AC99" i="17" s="1"/>
  <c r="N120" i="5"/>
  <c r="CI71" i="9"/>
  <c r="CI92" i="9" s="1"/>
  <c r="AG20" i="17" s="1"/>
  <c r="AC42" i="17" s="1"/>
  <c r="AC97" i="17" s="1"/>
  <c r="N118" i="5"/>
  <c r="N150" i="5"/>
  <c r="CI76" i="9"/>
  <c r="CI97" i="9" s="1"/>
  <c r="AG25" i="17" s="1"/>
  <c r="AC47" i="17" s="1"/>
  <c r="AC129" i="17" s="1"/>
  <c r="CJ73" i="9"/>
  <c r="CJ94" i="9" s="1"/>
  <c r="AH22" i="17" s="1"/>
  <c r="AD44" i="17" s="1"/>
  <c r="AD99" i="17" s="1"/>
  <c r="O120" i="5"/>
  <c r="N121" i="5"/>
  <c r="CI74" i="9"/>
  <c r="CI95" i="9" s="1"/>
  <c r="AG23" i="17" s="1"/>
  <c r="AC45" i="17" s="1"/>
  <c r="AC100" i="17" s="1"/>
  <c r="O118" i="5"/>
  <c r="CJ71" i="9"/>
  <c r="CJ92" i="9" s="1"/>
  <c r="AH20" i="17" s="1"/>
  <c r="AD42" i="17" s="1"/>
  <c r="AD97" i="17" s="1"/>
  <c r="N119" i="5"/>
  <c r="CI72" i="9"/>
  <c r="CI93" i="9" s="1"/>
  <c r="AG21" i="17" s="1"/>
  <c r="AC43" i="17" s="1"/>
  <c r="AC98" i="17" s="1"/>
  <c r="N100" i="5"/>
  <c r="CI70" i="9"/>
  <c r="CI91" i="9" s="1"/>
  <c r="AG19" i="17" s="1"/>
  <c r="AC41" i="17" s="1"/>
  <c r="AC79" i="17" s="1"/>
  <c r="L120" i="5"/>
  <c r="CG73" i="9"/>
  <c r="CG94" i="9" s="1"/>
  <c r="AE22" i="17" s="1"/>
  <c r="AA44" i="17" s="1"/>
  <c r="AA99" i="17" s="1"/>
  <c r="CG76" i="9"/>
  <c r="CG97" i="9" s="1"/>
  <c r="AE25" i="17" s="1"/>
  <c r="AA47" i="17" s="1"/>
  <c r="AA129" i="17" s="1"/>
  <c r="L150" i="5"/>
  <c r="O119" i="5"/>
  <c r="CJ72" i="9"/>
  <c r="CJ93" i="9" s="1"/>
  <c r="AH21" i="17" s="1"/>
  <c r="AD43" i="17" s="1"/>
  <c r="AD98" i="17" s="1"/>
  <c r="O100" i="5"/>
  <c r="CJ70" i="9"/>
  <c r="CJ91" i="9" s="1"/>
  <c r="AH19" i="17" s="1"/>
  <c r="AD41" i="17" s="1"/>
  <c r="AD79" i="17" s="1"/>
  <c r="K51" i="5"/>
  <c r="K49" i="5"/>
  <c r="CG59" i="9" l="1"/>
  <c r="CF59" i="9"/>
  <c r="CF80" i="9" l="1"/>
  <c r="AD8" i="17" s="1"/>
  <c r="CG80" i="9"/>
  <c r="AE8" i="17"/>
  <c r="O28" i="5"/>
  <c r="N28" i="5"/>
  <c r="N51" i="5" l="1"/>
  <c r="N49" i="5"/>
  <c r="O49" i="5"/>
  <c r="O51" i="5"/>
  <c r="AA30" i="17"/>
  <c r="Z30" i="17"/>
  <c r="CJ59" i="9" l="1"/>
  <c r="O69" i="5"/>
  <c r="CI59" i="9"/>
  <c r="N69" i="5"/>
  <c r="CI80" i="9" l="1"/>
  <c r="CI77" i="9"/>
  <c r="CJ80" i="9"/>
  <c r="CJ77" i="9"/>
  <c r="AG8" i="17"/>
  <c r="AH8" i="17"/>
  <c r="K43" i="5"/>
  <c r="K66" i="5" s="1"/>
  <c r="K40" i="5" l="1"/>
  <c r="K63" i="5" s="1"/>
  <c r="K118" i="5" s="1"/>
  <c r="K41" i="5"/>
  <c r="K64" i="5" s="1"/>
  <c r="AD30" i="17"/>
  <c r="CF74" i="9"/>
  <c r="CF95" i="9" s="1"/>
  <c r="AD23" i="17" s="1"/>
  <c r="Z45" i="17" s="1"/>
  <c r="Z100" i="17" s="1"/>
  <c r="K121" i="5"/>
  <c r="CF72" i="9"/>
  <c r="CF93" i="9" s="1"/>
  <c r="AD21" i="17" s="1"/>
  <c r="Z43" i="17" s="1"/>
  <c r="Z98" i="17" s="1"/>
  <c r="K119" i="5"/>
  <c r="AC30" i="17"/>
  <c r="L43" i="5"/>
  <c r="L66" i="5" s="1"/>
  <c r="L40" i="5"/>
  <c r="L63" i="5" s="1"/>
  <c r="L41" i="5"/>
  <c r="L64" i="5" s="1"/>
  <c r="K39" i="5"/>
  <c r="K62" i="5" s="1"/>
  <c r="CF71" i="9" l="1"/>
  <c r="CF92" i="9" s="1"/>
  <c r="AD20" i="17" s="1"/>
  <c r="Z42" i="17" s="1"/>
  <c r="Z97" i="17" s="1"/>
  <c r="K36" i="5"/>
  <c r="K59" i="5" s="1"/>
  <c r="K97" i="5" s="1"/>
  <c r="CF70" i="9"/>
  <c r="CF91" i="9" s="1"/>
  <c r="AD19" i="17" s="1"/>
  <c r="Z41" i="17" s="1"/>
  <c r="Z79" i="17" s="1"/>
  <c r="K100" i="5"/>
  <c r="L119" i="5"/>
  <c r="CG72" i="9"/>
  <c r="CG93" i="9" s="1"/>
  <c r="AE21" i="17" s="1"/>
  <c r="AA43" i="17" s="1"/>
  <c r="AA98" i="17" s="1"/>
  <c r="CF67" i="9"/>
  <c r="K69" i="5"/>
  <c r="L118" i="5"/>
  <c r="CG71" i="9"/>
  <c r="CG92" i="9" s="1"/>
  <c r="AE20" i="17" s="1"/>
  <c r="AA42" i="17" s="1"/>
  <c r="AA97" i="17" s="1"/>
  <c r="CG74" i="9"/>
  <c r="CG95" i="9" s="1"/>
  <c r="AE23" i="17" s="1"/>
  <c r="AA45" i="17" s="1"/>
  <c r="AA100" i="17" s="1"/>
  <c r="L121" i="5"/>
  <c r="L36" i="5"/>
  <c r="L59" i="5" s="1"/>
  <c r="L39" i="5"/>
  <c r="L62" i="5" s="1"/>
  <c r="CF88" i="9" l="1"/>
  <c r="CF77" i="9"/>
  <c r="AD16" i="17"/>
  <c r="CG70" i="9"/>
  <c r="CG91" i="9" s="1"/>
  <c r="AE19" i="17" s="1"/>
  <c r="AA41" i="17" s="1"/>
  <c r="AA79" i="17" s="1"/>
  <c r="L100" i="5"/>
  <c r="CG67" i="9"/>
  <c r="L97" i="5"/>
  <c r="L69" i="5"/>
  <c r="CG88" i="9" l="1"/>
  <c r="AE16" i="17" s="1"/>
  <c r="CG77" i="9"/>
  <c r="Z38" i="17"/>
  <c r="Z76" i="17" s="1"/>
  <c r="AA38" i="17" l="1"/>
  <c r="AA76" i="17" s="1"/>
  <c r="S43" i="5" l="1"/>
  <c r="S66" i="5" s="1"/>
  <c r="R45" i="5"/>
  <c r="R68" i="5" s="1"/>
  <c r="R35" i="5" l="1"/>
  <c r="R58" i="5" s="1"/>
  <c r="R78" i="5" s="1"/>
  <c r="S33" i="5"/>
  <c r="S56" i="5" s="1"/>
  <c r="S76" i="5" s="1"/>
  <c r="CM76" i="9"/>
  <c r="CM97" i="9" s="1"/>
  <c r="AK25" i="17" s="1"/>
  <c r="AG47" i="17" s="1"/>
  <c r="AG129" i="17" s="1"/>
  <c r="R150" i="5"/>
  <c r="CN74" i="9"/>
  <c r="CN95" i="9" s="1"/>
  <c r="AL23" i="17" s="1"/>
  <c r="AH45" i="17" s="1"/>
  <c r="AH100" i="17" s="1"/>
  <c r="S121" i="5"/>
  <c r="S37" i="5"/>
  <c r="S60" i="5" s="1"/>
  <c r="Q33" i="5"/>
  <c r="Q56" i="5" s="1"/>
  <c r="Q35" i="5"/>
  <c r="Q58" i="5" s="1"/>
  <c r="Q43" i="5"/>
  <c r="Q66" i="5" s="1"/>
  <c r="CM66" i="9"/>
  <c r="CN64" i="9"/>
  <c r="CN85" i="9" s="1"/>
  <c r="AL13" i="17" s="1"/>
  <c r="AH35" i="17" s="1"/>
  <c r="AH55" i="17" s="1"/>
  <c r="R33" i="5"/>
  <c r="R56" i="5" s="1"/>
  <c r="S45" i="5"/>
  <c r="S68" i="5" s="1"/>
  <c r="S35" i="5"/>
  <c r="S58" i="5" s="1"/>
  <c r="R37" i="5"/>
  <c r="R60" i="5" s="1"/>
  <c r="Q37" i="5"/>
  <c r="Q60" i="5" s="1"/>
  <c r="Q45" i="5"/>
  <c r="Q68" i="5" s="1"/>
  <c r="R43" i="5"/>
  <c r="R66" i="5" s="1"/>
  <c r="R28" i="5"/>
  <c r="S38" i="5"/>
  <c r="S61" i="5" s="1"/>
  <c r="R44" i="5"/>
  <c r="R67" i="5" s="1"/>
  <c r="Q41" i="5"/>
  <c r="Q64" i="5" s="1"/>
  <c r="S39" i="5"/>
  <c r="S62" i="5" s="1"/>
  <c r="S30" i="5"/>
  <c r="S53" i="5" s="1"/>
  <c r="CN61" i="9" s="1"/>
  <c r="CN82" i="9" s="1"/>
  <c r="AL10" i="17" s="1"/>
  <c r="AH32" i="17" s="1"/>
  <c r="S29" i="5"/>
  <c r="S52" i="5" s="1"/>
  <c r="CN60" i="9" s="1"/>
  <c r="CN81" i="9" s="1"/>
  <c r="AL9" i="17" s="1"/>
  <c r="AH31" i="17" s="1"/>
  <c r="R29" i="5"/>
  <c r="R52" i="5" s="1"/>
  <c r="CM60" i="9" s="1"/>
  <c r="CM81" i="9" s="1"/>
  <c r="AK9" i="17" s="1"/>
  <c r="AG31" i="17" s="1"/>
  <c r="V31" i="5" l="1"/>
  <c r="V54" i="5" s="1"/>
  <c r="CQ62" i="9" s="1"/>
  <c r="CQ83" i="9" s="1"/>
  <c r="AO11" i="17" s="1"/>
  <c r="AK33" i="17" s="1"/>
  <c r="V33" i="5"/>
  <c r="V56" i="5" s="1"/>
  <c r="U33" i="5"/>
  <c r="U56" i="5" s="1"/>
  <c r="V41" i="5"/>
  <c r="V64" i="5" s="1"/>
  <c r="CQ72" i="9" s="1"/>
  <c r="CQ93" i="9" s="1"/>
  <c r="AO21" i="17" s="1"/>
  <c r="AK43" i="17" s="1"/>
  <c r="AK98" i="17" s="1"/>
  <c r="U39" i="5"/>
  <c r="U62" i="5" s="1"/>
  <c r="S100" i="5"/>
  <c r="CN70" i="9"/>
  <c r="CN91" i="9" s="1"/>
  <c r="AL19" i="17" s="1"/>
  <c r="AH41" i="17" s="1"/>
  <c r="AH79" i="17" s="1"/>
  <c r="CM75" i="9"/>
  <c r="CM96" i="9" s="1"/>
  <c r="AK24" i="17" s="1"/>
  <c r="AG46" i="17" s="1"/>
  <c r="AG128" i="17" s="1"/>
  <c r="R149" i="5"/>
  <c r="CN69" i="9"/>
  <c r="CN90" i="9" s="1"/>
  <c r="AL18" i="17" s="1"/>
  <c r="AH40" i="17" s="1"/>
  <c r="AH78" i="17" s="1"/>
  <c r="S99" i="5"/>
  <c r="R51" i="5"/>
  <c r="R49" i="5"/>
  <c r="Q119" i="5"/>
  <c r="CL72" i="9"/>
  <c r="CL93" i="9" s="1"/>
  <c r="AJ21" i="17" s="1"/>
  <c r="AF43" i="17" s="1"/>
  <c r="AF98" i="17" s="1"/>
  <c r="Q36" i="5"/>
  <c r="Q59" i="5" s="1"/>
  <c r="S36" i="5"/>
  <c r="S59" i="5" s="1"/>
  <c r="R36" i="5"/>
  <c r="R59" i="5" s="1"/>
  <c r="U100" i="5"/>
  <c r="CP70" i="9"/>
  <c r="CP91" i="9" s="1"/>
  <c r="AN19" i="17" s="1"/>
  <c r="AJ41" i="17" s="1"/>
  <c r="AJ79" i="17" s="1"/>
  <c r="Q29" i="5"/>
  <c r="Q52" i="5" s="1"/>
  <c r="CL60" i="9" s="1"/>
  <c r="CL81" i="9" s="1"/>
  <c r="AJ9" i="17" s="1"/>
  <c r="AF31" i="17" s="1"/>
  <c r="V76" i="5"/>
  <c r="CQ64" i="9"/>
  <c r="CQ85" i="9" s="1"/>
  <c r="AO13" i="17" s="1"/>
  <c r="AK35" i="17" s="1"/>
  <c r="AK55" i="17" s="1"/>
  <c r="Q34" i="5"/>
  <c r="Q57" i="5" s="1"/>
  <c r="R34" i="5"/>
  <c r="R57" i="5" s="1"/>
  <c r="U31" i="5"/>
  <c r="U54" i="5" s="1"/>
  <c r="CP62" i="9" s="1"/>
  <c r="CP83" i="9" s="1"/>
  <c r="AN11" i="17" s="1"/>
  <c r="AJ33" i="17" s="1"/>
  <c r="V45" i="5"/>
  <c r="V68" i="5" s="1"/>
  <c r="S42" i="5"/>
  <c r="S65" i="5" s="1"/>
  <c r="Q42" i="5"/>
  <c r="Q65" i="5" s="1"/>
  <c r="W41" i="5"/>
  <c r="W64" i="5" s="1"/>
  <c r="U45" i="5"/>
  <c r="U68" i="5" s="1"/>
  <c r="W39" i="5"/>
  <c r="W62" i="5" s="1"/>
  <c r="V35" i="5"/>
  <c r="V58" i="5" s="1"/>
  <c r="R32" i="5"/>
  <c r="R55" i="5" s="1"/>
  <c r="CM74" i="9"/>
  <c r="CM95" i="9" s="1"/>
  <c r="AK23" i="17" s="1"/>
  <c r="AG45" i="17" s="1"/>
  <c r="AG100" i="17" s="1"/>
  <c r="R121" i="5"/>
  <c r="Q98" i="5"/>
  <c r="CL68" i="9"/>
  <c r="CL89" i="9" s="1"/>
  <c r="AJ17" i="17" s="1"/>
  <c r="AF39" i="17" s="1"/>
  <c r="AF77" i="17" s="1"/>
  <c r="CM68" i="9"/>
  <c r="CM89" i="9" s="1"/>
  <c r="AK17" i="17" s="1"/>
  <c r="AG39" i="17" s="1"/>
  <c r="AG77" i="17" s="1"/>
  <c r="R98" i="5"/>
  <c r="R39" i="5"/>
  <c r="R62" i="5" s="1"/>
  <c r="CN76" i="9"/>
  <c r="CN97" i="9" s="1"/>
  <c r="AL25" i="17" s="1"/>
  <c r="AH47" i="17" s="1"/>
  <c r="AH129" i="17" s="1"/>
  <c r="S150" i="5"/>
  <c r="R41" i="5"/>
  <c r="R64" i="5" s="1"/>
  <c r="S41" i="5"/>
  <c r="S64" i="5" s="1"/>
  <c r="R42" i="5"/>
  <c r="R65" i="5" s="1"/>
  <c r="CL74" i="9"/>
  <c r="CL95" i="9" s="1"/>
  <c r="AJ23" i="17" s="1"/>
  <c r="AF45" i="17" s="1"/>
  <c r="AF100" i="17" s="1"/>
  <c r="Q121" i="5"/>
  <c r="Q76" i="5"/>
  <c r="CL64" i="9"/>
  <c r="CL85" i="9" s="1"/>
  <c r="AJ13" i="17" s="1"/>
  <c r="AF35" i="17" s="1"/>
  <c r="AF55" i="17" s="1"/>
  <c r="Q28" i="5"/>
  <c r="CN68" i="9"/>
  <c r="CN89" i="9" s="1"/>
  <c r="AL17" i="17" s="1"/>
  <c r="AH39" i="17" s="1"/>
  <c r="AH77" i="17" s="1"/>
  <c r="S98" i="5"/>
  <c r="V119" i="5"/>
  <c r="U76" i="5"/>
  <c r="CP64" i="9"/>
  <c r="CP85" i="9" s="1"/>
  <c r="AN13" i="17" s="1"/>
  <c r="AJ35" i="17" s="1"/>
  <c r="AJ55" i="17" s="1"/>
  <c r="Q32" i="5"/>
  <c r="Q55" i="5" s="1"/>
  <c r="S32" i="5"/>
  <c r="S55" i="5" s="1"/>
  <c r="R40" i="5"/>
  <c r="R63" i="5" s="1"/>
  <c r="Q40" i="5"/>
  <c r="Q63" i="5" s="1"/>
  <c r="S44" i="5"/>
  <c r="S67" i="5" s="1"/>
  <c r="Q44" i="5"/>
  <c r="Q67" i="5" s="1"/>
  <c r="U41" i="5"/>
  <c r="U64" i="5" s="1"/>
  <c r="Q38" i="5"/>
  <c r="Q61" i="5" s="1"/>
  <c r="R38" i="5"/>
  <c r="R61" i="5" s="1"/>
  <c r="S31" i="5"/>
  <c r="S54" i="5" s="1"/>
  <c r="CN62" i="9" s="1"/>
  <c r="CN83" i="9" s="1"/>
  <c r="AL11" i="17" s="1"/>
  <c r="AH33" i="17" s="1"/>
  <c r="R31" i="5"/>
  <c r="R54" i="5" s="1"/>
  <c r="CM62" i="9" s="1"/>
  <c r="CM83" i="9" s="1"/>
  <c r="AK11" i="17" s="1"/>
  <c r="AG33" i="17" s="1"/>
  <c r="Q31" i="5"/>
  <c r="Q54" i="5" s="1"/>
  <c r="CL62" i="9" s="1"/>
  <c r="CL83" i="9" s="1"/>
  <c r="AJ11" i="17" s="1"/>
  <c r="AF33" i="17" s="1"/>
  <c r="Q150" i="5"/>
  <c r="CL76" i="9"/>
  <c r="CL97" i="9" s="1"/>
  <c r="AJ25" i="17" s="1"/>
  <c r="AF47" i="17" s="1"/>
  <c r="AF129" i="17" s="1"/>
  <c r="Q39" i="5"/>
  <c r="Q62" i="5" s="1"/>
  <c r="CN66" i="9"/>
  <c r="S78" i="5"/>
  <c r="R76" i="5"/>
  <c r="CM64" i="9"/>
  <c r="CM85" i="9" s="1"/>
  <c r="AK13" i="17" s="1"/>
  <c r="AG35" i="17" s="1"/>
  <c r="AG55" i="17" s="1"/>
  <c r="Q30" i="5"/>
  <c r="Q53" i="5" s="1"/>
  <c r="CL61" i="9" s="1"/>
  <c r="CL82" i="9" s="1"/>
  <c r="AJ10" i="17" s="1"/>
  <c r="AF32" i="17" s="1"/>
  <c r="S40" i="5"/>
  <c r="S63" i="5" s="1"/>
  <c r="S34" i="5"/>
  <c r="S57" i="5" s="1"/>
  <c r="S28" i="5"/>
  <c r="CL66" i="9"/>
  <c r="Q78" i="5"/>
  <c r="R30" i="5"/>
  <c r="R53" i="5" s="1"/>
  <c r="CM61" i="9" s="1"/>
  <c r="CM82" i="9" s="1"/>
  <c r="AK10" i="17" s="1"/>
  <c r="AG32" i="17" s="1"/>
  <c r="V37" i="5"/>
  <c r="V60" i="5" s="1"/>
  <c r="U35" i="5"/>
  <c r="U58" i="5" s="1"/>
  <c r="U37" i="5"/>
  <c r="U60" i="5" s="1"/>
  <c r="W45" i="5"/>
  <c r="W68" i="5" s="1"/>
  <c r="W40" i="5"/>
  <c r="W63" i="5" s="1"/>
  <c r="U43" i="5"/>
  <c r="U66" i="5" s="1"/>
  <c r="W33" i="5"/>
  <c r="W56" i="5" s="1"/>
  <c r="W35" i="5"/>
  <c r="W58" i="5" s="1"/>
  <c r="W37" i="5"/>
  <c r="W60" i="5" s="1"/>
  <c r="W43" i="5"/>
  <c r="W66" i="5" s="1"/>
  <c r="V39" i="5"/>
  <c r="V62" i="5" s="1"/>
  <c r="W31" i="5"/>
  <c r="W54" i="5" s="1"/>
  <c r="CR62" i="9" s="1"/>
  <c r="CR83" i="9" s="1"/>
  <c r="AP11" i="17" s="1"/>
  <c r="AL33" i="17" s="1"/>
  <c r="V43" i="5"/>
  <c r="V66" i="5" s="1"/>
  <c r="W34" i="5"/>
  <c r="W57" i="5" s="1"/>
  <c r="W42" i="5" l="1"/>
  <c r="W65" i="5" s="1"/>
  <c r="W120" i="5" s="1"/>
  <c r="U36" i="5"/>
  <c r="U59" i="5" s="1"/>
  <c r="W36" i="5"/>
  <c r="W59" i="5" s="1"/>
  <c r="V42" i="5"/>
  <c r="V65" i="5" s="1"/>
  <c r="CQ73" i="9" s="1"/>
  <c r="CQ94" i="9" s="1"/>
  <c r="AO22" i="17" s="1"/>
  <c r="AK44" i="17" s="1"/>
  <c r="AK99" i="17" s="1"/>
  <c r="U42" i="5"/>
  <c r="U65" i="5" s="1"/>
  <c r="U120" i="5" s="1"/>
  <c r="V32" i="5"/>
  <c r="V55" i="5" s="1"/>
  <c r="CQ63" i="9" s="1"/>
  <c r="CQ84" i="9" s="1"/>
  <c r="AO12" i="17" s="1"/>
  <c r="AK34" i="17" s="1"/>
  <c r="AK54" i="17" s="1"/>
  <c r="V120" i="5"/>
  <c r="CR65" i="9"/>
  <c r="W77" i="5"/>
  <c r="V121" i="5"/>
  <c r="CQ74" i="9"/>
  <c r="CQ95" i="9" s="1"/>
  <c r="AO23" i="17" s="1"/>
  <c r="AK45" i="17" s="1"/>
  <c r="AK100" i="17" s="1"/>
  <c r="CR64" i="9"/>
  <c r="CR85" i="9" s="1"/>
  <c r="AP13" i="17" s="1"/>
  <c r="AL35" i="17" s="1"/>
  <c r="AL55" i="17" s="1"/>
  <c r="W76" i="5"/>
  <c r="CP74" i="9"/>
  <c r="CP95" i="9" s="1"/>
  <c r="AN23" i="17" s="1"/>
  <c r="AJ45" i="17" s="1"/>
  <c r="AJ100" i="17" s="1"/>
  <c r="U121" i="5"/>
  <c r="U44" i="5"/>
  <c r="U67" i="5" s="1"/>
  <c r="U78" i="5"/>
  <c r="CP66" i="9"/>
  <c r="S77" i="5"/>
  <c r="CN65" i="9"/>
  <c r="Q99" i="5"/>
  <c r="CL69" i="9"/>
  <c r="CL90" i="9" s="1"/>
  <c r="AJ18" i="17" s="1"/>
  <c r="AF40" i="17" s="1"/>
  <c r="AF78" i="17" s="1"/>
  <c r="CL75" i="9"/>
  <c r="CL96" i="9" s="1"/>
  <c r="AJ24" i="17" s="1"/>
  <c r="AF46" i="17" s="1"/>
  <c r="AF128" i="17" s="1"/>
  <c r="Q149" i="5"/>
  <c r="Q118" i="5"/>
  <c r="CL71" i="9"/>
  <c r="CL92" i="9" s="1"/>
  <c r="AJ20" i="17" s="1"/>
  <c r="AF42" i="17" s="1"/>
  <c r="AF97" i="17" s="1"/>
  <c r="S75" i="5"/>
  <c r="CN63" i="9"/>
  <c r="CN84" i="9" s="1"/>
  <c r="AL12" i="17" s="1"/>
  <c r="AH34" i="17" s="1"/>
  <c r="AH54" i="17" s="1"/>
  <c r="Q49" i="5"/>
  <c r="Q51" i="5"/>
  <c r="S119" i="5"/>
  <c r="CN72" i="9"/>
  <c r="CN93" i="9" s="1"/>
  <c r="AL21" i="17" s="1"/>
  <c r="AH43" i="17" s="1"/>
  <c r="AH98" i="17" s="1"/>
  <c r="R100" i="5"/>
  <c r="CM70" i="9"/>
  <c r="CM91" i="9" s="1"/>
  <c r="AK19" i="17" s="1"/>
  <c r="AG41" i="17" s="1"/>
  <c r="AG79" i="17" s="1"/>
  <c r="V78" i="5"/>
  <c r="CQ66" i="9"/>
  <c r="CP76" i="9"/>
  <c r="CP97" i="9" s="1"/>
  <c r="AN25" i="17" s="1"/>
  <c r="AJ47" i="17" s="1"/>
  <c r="AJ129" i="17" s="1"/>
  <c r="U150" i="5"/>
  <c r="CL73" i="9"/>
  <c r="CL94" i="9" s="1"/>
  <c r="AJ22" i="17" s="1"/>
  <c r="AF44" i="17" s="1"/>
  <c r="AF99" i="17" s="1"/>
  <c r="Q120" i="5"/>
  <c r="V150" i="5"/>
  <c r="CQ76" i="9"/>
  <c r="CQ97" i="9" s="1"/>
  <c r="AO25" i="17" s="1"/>
  <c r="AK47" i="17" s="1"/>
  <c r="AK129" i="17" s="1"/>
  <c r="CM65" i="9"/>
  <c r="R77" i="5"/>
  <c r="CN67" i="9"/>
  <c r="CN88" i="9" s="1"/>
  <c r="AL16" i="17" s="1"/>
  <c r="AH38" i="17" s="1"/>
  <c r="AH76" i="17" s="1"/>
  <c r="S97" i="5"/>
  <c r="CP67" i="9"/>
  <c r="CP88" i="9" s="1"/>
  <c r="AN16" i="17" s="1"/>
  <c r="AJ38" i="17" s="1"/>
  <c r="AJ76" i="17" s="1"/>
  <c r="U97" i="5"/>
  <c r="W44" i="5"/>
  <c r="W67" i="5" s="1"/>
  <c r="CR67" i="9"/>
  <c r="CR88" i="9" s="1"/>
  <c r="AP16" i="17" s="1"/>
  <c r="AL38" i="17" s="1"/>
  <c r="AL76" i="17" s="1"/>
  <c r="W97" i="5"/>
  <c r="V100" i="5"/>
  <c r="CQ70" i="9"/>
  <c r="CQ91" i="9" s="1"/>
  <c r="AO19" i="17" s="1"/>
  <c r="AK41" i="17" s="1"/>
  <c r="AK79" i="17" s="1"/>
  <c r="W121" i="5"/>
  <c r="CR74" i="9"/>
  <c r="CR95" i="9" s="1"/>
  <c r="AP23" i="17" s="1"/>
  <c r="AL45" i="17" s="1"/>
  <c r="AL100" i="17" s="1"/>
  <c r="W98" i="5"/>
  <c r="CR68" i="9"/>
  <c r="CR89" i="9" s="1"/>
  <c r="AP17" i="17" s="1"/>
  <c r="AL39" i="17" s="1"/>
  <c r="AL77" i="17" s="1"/>
  <c r="CR66" i="9"/>
  <c r="W78" i="5"/>
  <c r="CR71" i="9"/>
  <c r="CR92" i="9" s="1"/>
  <c r="AP20" i="17" s="1"/>
  <c r="AL42" i="17" s="1"/>
  <c r="AL97" i="17" s="1"/>
  <c r="W118" i="5"/>
  <c r="W150" i="5"/>
  <c r="CR76" i="9"/>
  <c r="CR97" i="9" s="1"/>
  <c r="AP25" i="17" s="1"/>
  <c r="AL47" i="17" s="1"/>
  <c r="AL129" i="17" s="1"/>
  <c r="U98" i="5"/>
  <c r="CP68" i="9"/>
  <c r="CP89" i="9" s="1"/>
  <c r="AN17" i="17" s="1"/>
  <c r="AJ39" i="17" s="1"/>
  <c r="AJ77" i="17" s="1"/>
  <c r="V36" i="5"/>
  <c r="V59" i="5" s="1"/>
  <c r="CQ68" i="9"/>
  <c r="CQ89" i="9" s="1"/>
  <c r="AO17" i="17" s="1"/>
  <c r="AK39" i="17" s="1"/>
  <c r="AK77" i="17" s="1"/>
  <c r="V98" i="5"/>
  <c r="S51" i="5"/>
  <c r="S49" i="5"/>
  <c r="S118" i="5"/>
  <c r="CN71" i="9"/>
  <c r="CN92" i="9" s="1"/>
  <c r="AL20" i="17" s="1"/>
  <c r="AH42" i="17" s="1"/>
  <c r="AH97" i="17" s="1"/>
  <c r="Q100" i="5"/>
  <c r="CL70" i="9"/>
  <c r="CL91" i="9" s="1"/>
  <c r="AJ19" i="17" s="1"/>
  <c r="AF41" i="17" s="1"/>
  <c r="AF79" i="17" s="1"/>
  <c r="CM69" i="9"/>
  <c r="CM90" i="9" s="1"/>
  <c r="AK18" i="17" s="1"/>
  <c r="AG40" i="17" s="1"/>
  <c r="AG78" i="17" s="1"/>
  <c r="R99" i="5"/>
  <c r="CP72" i="9"/>
  <c r="CP93" i="9" s="1"/>
  <c r="AN21" i="17" s="1"/>
  <c r="AJ43" i="17" s="1"/>
  <c r="AJ98" i="17" s="1"/>
  <c r="U119" i="5"/>
  <c r="S149" i="5"/>
  <c r="CN75" i="9"/>
  <c r="CN96" i="9" s="1"/>
  <c r="AL24" i="17" s="1"/>
  <c r="AH46" i="17" s="1"/>
  <c r="AH128" i="17" s="1"/>
  <c r="CM71" i="9"/>
  <c r="CM92" i="9" s="1"/>
  <c r="AK20" i="17" s="1"/>
  <c r="AG42" i="17" s="1"/>
  <c r="AG97" i="17" s="1"/>
  <c r="R118" i="5"/>
  <c r="Q75" i="5"/>
  <c r="CL63" i="9"/>
  <c r="CL84" i="9" s="1"/>
  <c r="AJ12" i="17" s="1"/>
  <c r="AF34" i="17" s="1"/>
  <c r="AF54" i="17" s="1"/>
  <c r="CM73" i="9"/>
  <c r="CM94" i="9" s="1"/>
  <c r="AK22" i="17" s="1"/>
  <c r="AG44" i="17" s="1"/>
  <c r="AG99" i="17" s="1"/>
  <c r="R120" i="5"/>
  <c r="CM72" i="9"/>
  <c r="CM93" i="9" s="1"/>
  <c r="AK21" i="17" s="1"/>
  <c r="AG43" i="17" s="1"/>
  <c r="AG98" i="17" s="1"/>
  <c r="R119" i="5"/>
  <c r="CM63" i="9"/>
  <c r="CM84" i="9" s="1"/>
  <c r="AK12" i="17" s="1"/>
  <c r="AG34" i="17" s="1"/>
  <c r="AG54" i="17" s="1"/>
  <c r="R75" i="5"/>
  <c r="W100" i="5"/>
  <c r="CR70" i="9"/>
  <c r="CR91" i="9" s="1"/>
  <c r="AP19" i="17" s="1"/>
  <c r="AL41" i="17" s="1"/>
  <c r="AL79" i="17" s="1"/>
  <c r="CR72" i="9"/>
  <c r="CR93" i="9" s="1"/>
  <c r="AP21" i="17" s="1"/>
  <c r="AL43" i="17" s="1"/>
  <c r="AL98" i="17" s="1"/>
  <c r="W119" i="5"/>
  <c r="S120" i="5"/>
  <c r="CN73" i="9"/>
  <c r="CN94" i="9" s="1"/>
  <c r="AL22" i="17" s="1"/>
  <c r="AH44" i="17" s="1"/>
  <c r="AH99" i="17" s="1"/>
  <c r="Q77" i="5"/>
  <c r="CL65" i="9"/>
  <c r="CM67" i="9"/>
  <c r="CM88" i="9" s="1"/>
  <c r="AK16" i="17" s="1"/>
  <c r="AG38" i="17" s="1"/>
  <c r="AG76" i="17" s="1"/>
  <c r="R97" i="5"/>
  <c r="Q97" i="5"/>
  <c r="CL67" i="9"/>
  <c r="CL88" i="9" s="1"/>
  <c r="AJ16" i="17" s="1"/>
  <c r="AF38" i="17" s="1"/>
  <c r="AF76" i="17" s="1"/>
  <c r="R69" i="5"/>
  <c r="CM59" i="9"/>
  <c r="V30" i="5"/>
  <c r="V53" i="5" s="1"/>
  <c r="CQ61" i="9" s="1"/>
  <c r="CQ82" i="9" s="1"/>
  <c r="AO10" i="17" s="1"/>
  <c r="AK32" i="17" s="1"/>
  <c r="U30" i="5"/>
  <c r="U53" i="5" s="1"/>
  <c r="CP61" i="9" s="1"/>
  <c r="CP82" i="9" s="1"/>
  <c r="AN10" i="17" s="1"/>
  <c r="AJ32" i="17" s="1"/>
  <c r="V40" i="5"/>
  <c r="V63" i="5" s="1"/>
  <c r="U32" i="5"/>
  <c r="U55" i="5" s="1"/>
  <c r="U28" i="5"/>
  <c r="U38" i="5"/>
  <c r="U61" i="5" s="1"/>
  <c r="U40" i="5"/>
  <c r="U63" i="5" s="1"/>
  <c r="V38" i="5"/>
  <c r="V61" i="5" s="1"/>
  <c r="W28" i="5"/>
  <c r="V28" i="5"/>
  <c r="V29" i="5"/>
  <c r="V52" i="5" s="1"/>
  <c r="CQ60" i="9" s="1"/>
  <c r="CQ81" i="9" s="1"/>
  <c r="AO9" i="17" s="1"/>
  <c r="AK31" i="17" s="1"/>
  <c r="W32" i="5"/>
  <c r="W55" i="5" s="1"/>
  <c r="V44" i="5"/>
  <c r="V67" i="5" s="1"/>
  <c r="U29" i="5"/>
  <c r="U52" i="5" s="1"/>
  <c r="CP60" i="9" s="1"/>
  <c r="CP81" i="9" s="1"/>
  <c r="AN9" i="17" s="1"/>
  <c r="AJ31" i="17" s="1"/>
  <c r="W38" i="5"/>
  <c r="W61" i="5" s="1"/>
  <c r="W29" i="5"/>
  <c r="W52" i="5" s="1"/>
  <c r="CR60" i="9" s="1"/>
  <c r="CR81" i="9" s="1"/>
  <c r="AP9" i="17" s="1"/>
  <c r="AL31" i="17" s="1"/>
  <c r="W30" i="5"/>
  <c r="W53" i="5" s="1"/>
  <c r="CR61" i="9" s="1"/>
  <c r="CR82" i="9" s="1"/>
  <c r="AP10" i="17" s="1"/>
  <c r="AL32" i="17" s="1"/>
  <c r="CM80" i="9" l="1"/>
  <c r="CM77" i="9"/>
  <c r="CR73" i="9"/>
  <c r="CR94" i="9" s="1"/>
  <c r="AP22" i="17" s="1"/>
  <c r="AL44" i="17" s="1"/>
  <c r="AL99" i="17" s="1"/>
  <c r="V75" i="5"/>
  <c r="CP73" i="9"/>
  <c r="CP94" i="9" s="1"/>
  <c r="AN22" i="17" s="1"/>
  <c r="AJ44" i="17" s="1"/>
  <c r="AJ99" i="17" s="1"/>
  <c r="V149" i="5"/>
  <c r="CQ75" i="9"/>
  <c r="CQ96" i="9" s="1"/>
  <c r="AO24" i="17" s="1"/>
  <c r="AK46" i="17" s="1"/>
  <c r="AK128" i="17" s="1"/>
  <c r="CR63" i="9"/>
  <c r="CR84" i="9" s="1"/>
  <c r="AP12" i="17" s="1"/>
  <c r="AL34" i="17" s="1"/>
  <c r="AL54" i="17" s="1"/>
  <c r="W75" i="5"/>
  <c r="W49" i="5"/>
  <c r="W51" i="5"/>
  <c r="V99" i="5"/>
  <c r="CQ69" i="9"/>
  <c r="CQ90" i="9" s="1"/>
  <c r="AO18" i="17" s="1"/>
  <c r="AK40" i="17" s="1"/>
  <c r="AK78" i="17" s="1"/>
  <c r="U49" i="5"/>
  <c r="U51" i="5"/>
  <c r="U75" i="5"/>
  <c r="CP63" i="9"/>
  <c r="CP84" i="9" s="1"/>
  <c r="AN12" i="17" s="1"/>
  <c r="AJ34" i="17" s="1"/>
  <c r="AJ54" i="17" s="1"/>
  <c r="CN59" i="9"/>
  <c r="S69" i="5"/>
  <c r="CR75" i="9"/>
  <c r="CR96" i="9" s="1"/>
  <c r="AP24" i="17" s="1"/>
  <c r="AL46" i="17" s="1"/>
  <c r="AL128" i="17" s="1"/>
  <c r="W149" i="5"/>
  <c r="W99" i="5"/>
  <c r="CR69" i="9"/>
  <c r="CR90" i="9" s="1"/>
  <c r="AP18" i="17" s="1"/>
  <c r="AL40" i="17" s="1"/>
  <c r="AL78" i="17" s="1"/>
  <c r="V49" i="5"/>
  <c r="V51" i="5"/>
  <c r="U118" i="5"/>
  <c r="CP71" i="9"/>
  <c r="CP92" i="9" s="1"/>
  <c r="AN20" i="17" s="1"/>
  <c r="AJ42" i="17" s="1"/>
  <c r="AJ97" i="17" s="1"/>
  <c r="U99" i="5"/>
  <c r="CP69" i="9"/>
  <c r="CP90" i="9" s="1"/>
  <c r="AN18" i="17" s="1"/>
  <c r="AJ40" i="17" s="1"/>
  <c r="AJ78" i="17" s="1"/>
  <c r="CQ71" i="9"/>
  <c r="CQ92" i="9" s="1"/>
  <c r="AO20" i="17" s="1"/>
  <c r="AK42" i="17" s="1"/>
  <c r="AK97" i="17" s="1"/>
  <c r="V118" i="5"/>
  <c r="AK8" i="17"/>
  <c r="CQ67" i="9"/>
  <c r="CQ88" i="9" s="1"/>
  <c r="AO16" i="17" s="1"/>
  <c r="AK38" i="17" s="1"/>
  <c r="AK76" i="17" s="1"/>
  <c r="V97" i="5"/>
  <c r="Q69" i="5"/>
  <c r="CL59" i="9"/>
  <c r="U149" i="5"/>
  <c r="CP75" i="9"/>
  <c r="CP96" i="9" s="1"/>
  <c r="AN24" i="17" s="1"/>
  <c r="AJ46" i="17" s="1"/>
  <c r="AJ128" i="17" s="1"/>
  <c r="AA45" i="5"/>
  <c r="AA68" i="5" s="1"/>
  <c r="Y35" i="5"/>
  <c r="Y58" i="5" s="1"/>
  <c r="Y29" i="5"/>
  <c r="Y52" i="5" s="1"/>
  <c r="CT60" i="9" s="1"/>
  <c r="CT81" i="9" s="1"/>
  <c r="AR9" i="17" s="1"/>
  <c r="AN31" i="17" s="1"/>
  <c r="Z37" i="5"/>
  <c r="Z60" i="5" s="1"/>
  <c r="Y45" i="5"/>
  <c r="Y68" i="5" s="1"/>
  <c r="Z45" i="5"/>
  <c r="Z68" i="5" s="1"/>
  <c r="AA35" i="5"/>
  <c r="AA58" i="5" s="1"/>
  <c r="Z35" i="5"/>
  <c r="Z58" i="5" s="1"/>
  <c r="Z30" i="5"/>
  <c r="Z53" i="5" s="1"/>
  <c r="CU61" i="9" s="1"/>
  <c r="CU82" i="9" s="1"/>
  <c r="AS10" i="17" s="1"/>
  <c r="AO32" i="17" s="1"/>
  <c r="Z29" i="5"/>
  <c r="Z52" i="5" s="1"/>
  <c r="CU60" i="9" s="1"/>
  <c r="CU81" i="9" s="1"/>
  <c r="AS9" i="17" s="1"/>
  <c r="AO31" i="17" s="1"/>
  <c r="CL80" i="9" l="1"/>
  <c r="CL77" i="9"/>
  <c r="CN80" i="9"/>
  <c r="CN77" i="9"/>
  <c r="Y33" i="5"/>
  <c r="Y56" i="5" s="1"/>
  <c r="Y41" i="5"/>
  <c r="Y64" i="5" s="1"/>
  <c r="AA33" i="5"/>
  <c r="AA56" i="5" s="1"/>
  <c r="Z78" i="5"/>
  <c r="CU66" i="9"/>
  <c r="CV66" i="9"/>
  <c r="AA78" i="5"/>
  <c r="Z150" i="5"/>
  <c r="CU76" i="9"/>
  <c r="CU97" i="9" s="1"/>
  <c r="AS25" i="17" s="1"/>
  <c r="AO47" i="17" s="1"/>
  <c r="AO129" i="17" s="1"/>
  <c r="Y78" i="5"/>
  <c r="CT66" i="9"/>
  <c r="Y39" i="5"/>
  <c r="Y62" i="5" s="1"/>
  <c r="AA150" i="5"/>
  <c r="CV76" i="9"/>
  <c r="CV97" i="9" s="1"/>
  <c r="AT25" i="17" s="1"/>
  <c r="AP47" i="17" s="1"/>
  <c r="AP129" i="17" s="1"/>
  <c r="AJ8" i="17"/>
  <c r="AG30" i="17"/>
  <c r="CQ59" i="9"/>
  <c r="V69" i="5"/>
  <c r="CP59" i="9"/>
  <c r="U69" i="5"/>
  <c r="CR59" i="9"/>
  <c r="W69" i="5"/>
  <c r="Z41" i="5"/>
  <c r="Z64" i="5" s="1"/>
  <c r="Z33" i="5"/>
  <c r="Z56" i="5" s="1"/>
  <c r="Y150" i="5"/>
  <c r="CT76" i="9"/>
  <c r="CT97" i="9" s="1"/>
  <c r="AR25" i="17" s="1"/>
  <c r="AN47" i="17" s="1"/>
  <c r="AN129" i="17" s="1"/>
  <c r="CU68" i="9"/>
  <c r="CU89" i="9" s="1"/>
  <c r="AS17" i="17" s="1"/>
  <c r="AO39" i="17" s="1"/>
  <c r="AO77" i="17" s="1"/>
  <c r="Z98" i="5"/>
  <c r="AA44" i="5"/>
  <c r="AA67" i="5" s="1"/>
  <c r="Z39" i="5"/>
  <c r="Z62" i="5" s="1"/>
  <c r="AL8" i="17"/>
  <c r="Y28" i="5"/>
  <c r="AA28" i="5"/>
  <c r="Z28" i="5"/>
  <c r="Z36" i="5"/>
  <c r="Z59" i="5" s="1"/>
  <c r="Y36" i="5"/>
  <c r="Y59" i="5" s="1"/>
  <c r="Y34" i="5"/>
  <c r="Y57" i="5" s="1"/>
  <c r="AA34" i="5"/>
  <c r="AA57" i="5" s="1"/>
  <c r="Y40" i="5"/>
  <c r="Y63" i="5" s="1"/>
  <c r="Z43" i="5"/>
  <c r="Z66" i="5" s="1"/>
  <c r="Y38" i="5"/>
  <c r="Y61" i="5" s="1"/>
  <c r="AA38" i="5"/>
  <c r="AA61" i="5" s="1"/>
  <c r="AA41" i="5"/>
  <c r="AA64" i="5" s="1"/>
  <c r="AA36" i="5"/>
  <c r="AA59" i="5" s="1"/>
  <c r="Z32" i="5"/>
  <c r="Z55" i="5" s="1"/>
  <c r="Z40" i="5"/>
  <c r="Z63" i="5" s="1"/>
  <c r="AA43" i="5"/>
  <c r="AA66" i="5" s="1"/>
  <c r="AA29" i="5"/>
  <c r="AA52" i="5" s="1"/>
  <c r="CV60" i="9" s="1"/>
  <c r="CV81" i="9" s="1"/>
  <c r="AT9" i="17" s="1"/>
  <c r="AP31" i="17" s="1"/>
  <c r="Z31" i="5"/>
  <c r="Z54" i="5" s="1"/>
  <c r="CU62" i="9" s="1"/>
  <c r="CU83" i="9" s="1"/>
  <c r="AS11" i="17" s="1"/>
  <c r="AO33" i="17" s="1"/>
  <c r="Y43" i="5"/>
  <c r="Y66" i="5" s="1"/>
  <c r="Y37" i="5"/>
  <c r="Y60" i="5" s="1"/>
  <c r="AA31" i="5"/>
  <c r="AA54" i="5" s="1"/>
  <c r="CV62" i="9" s="1"/>
  <c r="CV83" i="9" s="1"/>
  <c r="AT11" i="17" s="1"/>
  <c r="AP33" i="17" s="1"/>
  <c r="Y32" i="5"/>
  <c r="Y55" i="5" s="1"/>
  <c r="AA40" i="5"/>
  <c r="AA63" i="5" s="1"/>
  <c r="Y44" i="5"/>
  <c r="Y67" i="5" s="1"/>
  <c r="Z44" i="5"/>
  <c r="Z67" i="5" s="1"/>
  <c r="Y30" i="5"/>
  <c r="Y53" i="5" s="1"/>
  <c r="CT61" i="9" s="1"/>
  <c r="CT82" i="9" s="1"/>
  <c r="AR10" i="17" s="1"/>
  <c r="AN32" i="17" s="1"/>
  <c r="Z38" i="5"/>
  <c r="Z61" i="5" s="1"/>
  <c r="AA39" i="5"/>
  <c r="AA62" i="5" s="1"/>
  <c r="Z42" i="5"/>
  <c r="Z65" i="5" s="1"/>
  <c r="Z34" i="5"/>
  <c r="Z57" i="5" s="1"/>
  <c r="Y42" i="5"/>
  <c r="Y65" i="5" s="1"/>
  <c r="AA42" i="5"/>
  <c r="AA65" i="5" s="1"/>
  <c r="Y31" i="5"/>
  <c r="Y54" i="5" s="1"/>
  <c r="CT62" i="9" s="1"/>
  <c r="CT83" i="9" s="1"/>
  <c r="AR11" i="17" s="1"/>
  <c r="AN33" i="17" s="1"/>
  <c r="AA32" i="5"/>
  <c r="AA55" i="5" s="1"/>
  <c r="AA30" i="5"/>
  <c r="AA53" i="5" s="1"/>
  <c r="CV61" i="9" s="1"/>
  <c r="CV82" i="9" s="1"/>
  <c r="AT10" i="17" s="1"/>
  <c r="AP32" i="17" s="1"/>
  <c r="AA37" i="5"/>
  <c r="AA60" i="5" s="1"/>
  <c r="CQ80" i="9" l="1"/>
  <c r="AO8" i="17" s="1"/>
  <c r="CQ77" i="9"/>
  <c r="CP80" i="9"/>
  <c r="CP77" i="9"/>
  <c r="CR80" i="9"/>
  <c r="AP8" i="17" s="1"/>
  <c r="CR77" i="9"/>
  <c r="Y120" i="5"/>
  <c r="CT73" i="9"/>
  <c r="CT94" i="9" s="1"/>
  <c r="AR22" i="17" s="1"/>
  <c r="AN44" i="17" s="1"/>
  <c r="AN99" i="17" s="1"/>
  <c r="Z120" i="5"/>
  <c r="CU73" i="9"/>
  <c r="CU94" i="9" s="1"/>
  <c r="AS22" i="17" s="1"/>
  <c r="AO44" i="17" s="1"/>
  <c r="AO99" i="17" s="1"/>
  <c r="CU69" i="9"/>
  <c r="CU90" i="9" s="1"/>
  <c r="AS18" i="17" s="1"/>
  <c r="AO40" i="17" s="1"/>
  <c r="AO78" i="17" s="1"/>
  <c r="Z99" i="5"/>
  <c r="AA118" i="5"/>
  <c r="CV71" i="9"/>
  <c r="CV92" i="9" s="1"/>
  <c r="AT20" i="17" s="1"/>
  <c r="AP42" i="17" s="1"/>
  <c r="AP97" i="17" s="1"/>
  <c r="Y99" i="5"/>
  <c r="CT69" i="9"/>
  <c r="CT90" i="9" s="1"/>
  <c r="AR18" i="17" s="1"/>
  <c r="AN40" i="17" s="1"/>
  <c r="AN78" i="17" s="1"/>
  <c r="AA98" i="5"/>
  <c r="CV68" i="9"/>
  <c r="CV89" i="9" s="1"/>
  <c r="AT17" i="17" s="1"/>
  <c r="AP39" i="17" s="1"/>
  <c r="AP77" i="17" s="1"/>
  <c r="AA75" i="5"/>
  <c r="CV63" i="9"/>
  <c r="CV84" i="9" s="1"/>
  <c r="AT12" i="17" s="1"/>
  <c r="AP34" i="17" s="1"/>
  <c r="AP54" i="17" s="1"/>
  <c r="CU65" i="9"/>
  <c r="Z77" i="5"/>
  <c r="AA100" i="5"/>
  <c r="CV70" i="9"/>
  <c r="CV91" i="9" s="1"/>
  <c r="AT19" i="17" s="1"/>
  <c r="AP41" i="17" s="1"/>
  <c r="AP79" i="17" s="1"/>
  <c r="CU75" i="9"/>
  <c r="CU96" i="9" s="1"/>
  <c r="AS24" i="17" s="1"/>
  <c r="AO46" i="17" s="1"/>
  <c r="AO128" i="17" s="1"/>
  <c r="Z149" i="5"/>
  <c r="Y75" i="5"/>
  <c r="CT63" i="9"/>
  <c r="CT84" i="9" s="1"/>
  <c r="AR12" i="17" s="1"/>
  <c r="AN34" i="17" s="1"/>
  <c r="AN54" i="17" s="1"/>
  <c r="CT74" i="9"/>
  <c r="CT95" i="9" s="1"/>
  <c r="AR23" i="17" s="1"/>
  <c r="AN45" i="17" s="1"/>
  <c r="AN100" i="17" s="1"/>
  <c r="Y121" i="5"/>
  <c r="AA121" i="5"/>
  <c r="CV74" i="9"/>
  <c r="CV95" i="9" s="1"/>
  <c r="AT23" i="17" s="1"/>
  <c r="AP45" i="17" s="1"/>
  <c r="AP100" i="17" s="1"/>
  <c r="Z118" i="5"/>
  <c r="CU71" i="9"/>
  <c r="CU92" i="9" s="1"/>
  <c r="AS20" i="17" s="1"/>
  <c r="AO42" i="17" s="1"/>
  <c r="AO97" i="17" s="1"/>
  <c r="Z75" i="5"/>
  <c r="CU63" i="9"/>
  <c r="CU84" i="9" s="1"/>
  <c r="AS12" i="17" s="1"/>
  <c r="AO34" i="17" s="1"/>
  <c r="AO54" i="17" s="1"/>
  <c r="CV72" i="9"/>
  <c r="CV93" i="9" s="1"/>
  <c r="AT21" i="17" s="1"/>
  <c r="AP43" i="17" s="1"/>
  <c r="AP98" i="17" s="1"/>
  <c r="AA119" i="5"/>
  <c r="CT71" i="9"/>
  <c r="CT92" i="9" s="1"/>
  <c r="AR20" i="17" s="1"/>
  <c r="AN42" i="17" s="1"/>
  <c r="AN97" i="17" s="1"/>
  <c r="Y118" i="5"/>
  <c r="AA77" i="5"/>
  <c r="CV65" i="9"/>
  <c r="CU67" i="9"/>
  <c r="CU88" i="9" s="1"/>
  <c r="AS16" i="17" s="1"/>
  <c r="AO38" i="17" s="1"/>
  <c r="AO76" i="17" s="1"/>
  <c r="Z97" i="5"/>
  <c r="AA49" i="5"/>
  <c r="AA51" i="5"/>
  <c r="AA149" i="5"/>
  <c r="CV75" i="9"/>
  <c r="CV96" i="9" s="1"/>
  <c r="AT24" i="17" s="1"/>
  <c r="AP46" i="17" s="1"/>
  <c r="AP128" i="17" s="1"/>
  <c r="Z119" i="5"/>
  <c r="CU72" i="9"/>
  <c r="CU93" i="9" s="1"/>
  <c r="AS21" i="17" s="1"/>
  <c r="AO43" i="17" s="1"/>
  <c r="AO98" i="17" s="1"/>
  <c r="AN8" i="17"/>
  <c r="CT70" i="9"/>
  <c r="CT91" i="9" s="1"/>
  <c r="AR19" i="17" s="1"/>
  <c r="AN41" i="17" s="1"/>
  <c r="AN79" i="17" s="1"/>
  <c r="Y100" i="5"/>
  <c r="Y119" i="5"/>
  <c r="CT72" i="9"/>
  <c r="CT93" i="9" s="1"/>
  <c r="AR21" i="17" s="1"/>
  <c r="AN43" i="17" s="1"/>
  <c r="AN98" i="17" s="1"/>
  <c r="CV73" i="9"/>
  <c r="CV94" i="9" s="1"/>
  <c r="AT22" i="17" s="1"/>
  <c r="AP44" i="17" s="1"/>
  <c r="AP99" i="17" s="1"/>
  <c r="AA120" i="5"/>
  <c r="Y149" i="5"/>
  <c r="CT75" i="9"/>
  <c r="CT96" i="9" s="1"/>
  <c r="AR24" i="17" s="1"/>
  <c r="AN46" i="17" s="1"/>
  <c r="AN128" i="17" s="1"/>
  <c r="Y98" i="5"/>
  <c r="CT68" i="9"/>
  <c r="CT89" i="9" s="1"/>
  <c r="AR17" i="17" s="1"/>
  <c r="AN39" i="17" s="1"/>
  <c r="AN77" i="17" s="1"/>
  <c r="CV67" i="9"/>
  <c r="CV88" i="9" s="1"/>
  <c r="AT16" i="17" s="1"/>
  <c r="AP38" i="17" s="1"/>
  <c r="AP76" i="17" s="1"/>
  <c r="AA97" i="5"/>
  <c r="AA99" i="5"/>
  <c r="CV69" i="9"/>
  <c r="CV90" i="9" s="1"/>
  <c r="AT18" i="17" s="1"/>
  <c r="AP40" i="17" s="1"/>
  <c r="AP78" i="17" s="1"/>
  <c r="CU74" i="9"/>
  <c r="CU95" i="9" s="1"/>
  <c r="AS23" i="17" s="1"/>
  <c r="AO45" i="17" s="1"/>
  <c r="AO100" i="17" s="1"/>
  <c r="Z121" i="5"/>
  <c r="Y77" i="5"/>
  <c r="CT65" i="9"/>
  <c r="Y97" i="5"/>
  <c r="CT67" i="9"/>
  <c r="CT88" i="9" s="1"/>
  <c r="AR16" i="17" s="1"/>
  <c r="AN38" i="17" s="1"/>
  <c r="AN76" i="17" s="1"/>
  <c r="Z49" i="5"/>
  <c r="Z51" i="5"/>
  <c r="Y51" i="5"/>
  <c r="Y49" i="5"/>
  <c r="AH30" i="17"/>
  <c r="Z100" i="5"/>
  <c r="CU70" i="9"/>
  <c r="CU91" i="9" s="1"/>
  <c r="AS19" i="17" s="1"/>
  <c r="AO41" i="17" s="1"/>
  <c r="AO79" i="17" s="1"/>
  <c r="CU64" i="9"/>
  <c r="CU85" i="9" s="1"/>
  <c r="AS13" i="17" s="1"/>
  <c r="AO35" i="17" s="1"/>
  <c r="AO55" i="17" s="1"/>
  <c r="Z76" i="5"/>
  <c r="AF30" i="17"/>
  <c r="AA76" i="5"/>
  <c r="CV64" i="9"/>
  <c r="CV85" i="9" s="1"/>
  <c r="AT13" i="17" s="1"/>
  <c r="AP35" i="17" s="1"/>
  <c r="AP55" i="17" s="1"/>
  <c r="CT64" i="9"/>
  <c r="CT85" i="9" s="1"/>
  <c r="AR13" i="17" s="1"/>
  <c r="AN35" i="17" s="1"/>
  <c r="AN55" i="17" s="1"/>
  <c r="Y76" i="5"/>
  <c r="CT59" i="9" l="1"/>
  <c r="Y69" i="5"/>
  <c r="AJ30" i="17"/>
  <c r="CV59" i="9"/>
  <c r="AA69" i="5"/>
  <c r="Z69" i="5"/>
  <c r="CU59" i="9"/>
  <c r="AK30" i="17"/>
  <c r="AL30" i="17"/>
  <c r="CU80" i="9" l="1"/>
  <c r="CU77" i="9"/>
  <c r="CV80" i="9"/>
  <c r="CV77" i="9"/>
  <c r="CT80" i="9"/>
  <c r="CT77" i="9"/>
  <c r="AT8" i="17"/>
  <c r="AR8" i="17"/>
  <c r="AS8" i="17"/>
  <c r="AO30" i="17" l="1"/>
  <c r="AN30" i="17"/>
  <c r="AP30" i="17"/>
  <c r="AI75" i="5" l="1"/>
  <c r="DD63" i="9"/>
  <c r="DD84" i="9" s="1"/>
  <c r="BB12" i="17" s="1"/>
  <c r="AX34" i="17" s="1"/>
  <c r="AX54" i="17" s="1"/>
  <c r="AK76" i="5"/>
  <c r="AE33" i="5"/>
  <c r="AE56" i="5" s="1"/>
  <c r="AE36" i="5"/>
  <c r="AE59" i="5" s="1"/>
  <c r="AK75" i="5"/>
  <c r="AK97" i="5"/>
  <c r="AD32" i="5"/>
  <c r="AD55" i="5" s="1"/>
  <c r="AC36" i="5"/>
  <c r="AC59" i="5" s="1"/>
  <c r="AD36" i="5"/>
  <c r="AD59" i="5" s="1"/>
  <c r="AE45" i="5"/>
  <c r="AE68" i="5" s="1"/>
  <c r="AE29" i="5"/>
  <c r="AE52" i="5" s="1"/>
  <c r="CZ60" i="9" s="1"/>
  <c r="CZ81" i="9" s="1"/>
  <c r="AX9" i="17" s="1"/>
  <c r="AT31" i="17" s="1"/>
  <c r="AC33" i="5"/>
  <c r="AC56" i="5" s="1"/>
  <c r="AE44" i="5"/>
  <c r="AE67" i="5" s="1"/>
  <c r="AD33" i="5"/>
  <c r="AD56" i="5" s="1"/>
  <c r="AE35" i="5"/>
  <c r="AE58" i="5" s="1"/>
  <c r="AC32" i="5"/>
  <c r="AC55" i="5" s="1"/>
  <c r="AE42" i="5" l="1"/>
  <c r="AE65" i="5" s="1"/>
  <c r="CZ73" i="9" s="1"/>
  <c r="CZ94" i="9" s="1"/>
  <c r="AX22" i="17" s="1"/>
  <c r="AT44" i="17" s="1"/>
  <c r="AT99" i="17" s="1"/>
  <c r="AE30" i="5"/>
  <c r="AE53" i="5" s="1"/>
  <c r="CZ61" i="9" s="1"/>
  <c r="CZ82" i="9" s="1"/>
  <c r="AX10" i="17" s="1"/>
  <c r="AT32" i="17" s="1"/>
  <c r="AE28" i="5"/>
  <c r="AE51" i="5" s="1"/>
  <c r="CZ59" i="9" s="1"/>
  <c r="AE41" i="5"/>
  <c r="AE64" i="5" s="1"/>
  <c r="CZ72" i="9" s="1"/>
  <c r="CZ93" i="9" s="1"/>
  <c r="AX21" i="17" s="1"/>
  <c r="AT43" i="17" s="1"/>
  <c r="AT98" i="17" s="1"/>
  <c r="DE59" i="9"/>
  <c r="CX63" i="9"/>
  <c r="CX84" i="9" s="1"/>
  <c r="AV12" i="17" s="1"/>
  <c r="AR34" i="17" s="1"/>
  <c r="AR54" i="17" s="1"/>
  <c r="AC75" i="5"/>
  <c r="DE62" i="9"/>
  <c r="DE83" i="9" s="1"/>
  <c r="BC11" i="17" s="1"/>
  <c r="AY33" i="17" s="1"/>
  <c r="DB62" i="9"/>
  <c r="DB83" i="9" s="1"/>
  <c r="AZ11" i="17" s="1"/>
  <c r="AV33" i="17" s="1"/>
  <c r="DD62" i="9"/>
  <c r="DD83" i="9" s="1"/>
  <c r="BB11" i="17" s="1"/>
  <c r="AX33" i="17" s="1"/>
  <c r="DC62" i="9"/>
  <c r="DC83" i="9" s="1"/>
  <c r="BA11" i="17" s="1"/>
  <c r="AW33" i="17" s="1"/>
  <c r="AK98" i="5"/>
  <c r="AD76" i="5"/>
  <c r="CY64" i="9"/>
  <c r="CY85" i="9" s="1"/>
  <c r="AW13" i="17" s="1"/>
  <c r="AS35" i="17" s="1"/>
  <c r="AS55" i="17" s="1"/>
  <c r="AC76" i="5"/>
  <c r="CX64" i="9"/>
  <c r="CX85" i="9" s="1"/>
  <c r="AV13" i="17" s="1"/>
  <c r="AR35" i="17" s="1"/>
  <c r="AR55" i="17" s="1"/>
  <c r="AE34" i="5"/>
  <c r="AE57" i="5" s="1"/>
  <c r="AK121" i="5"/>
  <c r="AE43" i="5"/>
  <c r="AE66" i="5" s="1"/>
  <c r="AE31" i="5"/>
  <c r="AE54" i="5" s="1"/>
  <c r="CZ62" i="9" s="1"/>
  <c r="CZ83" i="9" s="1"/>
  <c r="AX11" i="17" s="1"/>
  <c r="AT33" i="17" s="1"/>
  <c r="AD97" i="5"/>
  <c r="CY67" i="9"/>
  <c r="CY88" i="9" s="1"/>
  <c r="AW16" i="17" s="1"/>
  <c r="AS38" i="17" s="1"/>
  <c r="AS76" i="17" s="1"/>
  <c r="AK120" i="5"/>
  <c r="AK119" i="5"/>
  <c r="DE61" i="9"/>
  <c r="DE82" i="9" s="1"/>
  <c r="BC10" i="17" s="1"/>
  <c r="AY32" i="17" s="1"/>
  <c r="DB61" i="9"/>
  <c r="DB82" i="9" s="1"/>
  <c r="AZ10" i="17" s="1"/>
  <c r="AV32" i="17" s="1"/>
  <c r="DD61" i="9"/>
  <c r="DD82" i="9" s="1"/>
  <c r="BB10" i="17" s="1"/>
  <c r="AX32" i="17" s="1"/>
  <c r="DC61" i="9"/>
  <c r="DC82" i="9" s="1"/>
  <c r="BA10" i="17" s="1"/>
  <c r="AW32" i="17" s="1"/>
  <c r="AC97" i="5"/>
  <c r="CX67" i="9"/>
  <c r="CX88" i="9" s="1"/>
  <c r="AV16" i="17" s="1"/>
  <c r="AR38" i="17" s="1"/>
  <c r="AR76" i="17" s="1"/>
  <c r="AE39" i="5"/>
  <c r="AE62" i="5" s="1"/>
  <c r="DB60" i="9"/>
  <c r="DB81" i="9" s="1"/>
  <c r="AZ9" i="17" s="1"/>
  <c r="AV31" i="17" s="1"/>
  <c r="DE63" i="9"/>
  <c r="DE84" i="9" s="1"/>
  <c r="BC12" i="17" s="1"/>
  <c r="AY34" i="17" s="1"/>
  <c r="AJ75" i="5"/>
  <c r="DD60" i="9"/>
  <c r="DD81" i="9" s="1"/>
  <c r="BB9" i="17" s="1"/>
  <c r="AX31" i="17" s="1"/>
  <c r="AJ97" i="5"/>
  <c r="DE67" i="9"/>
  <c r="DE88" i="9" s="1"/>
  <c r="BC16" i="17" s="1"/>
  <c r="AY38" i="17" s="1"/>
  <c r="AI97" i="5"/>
  <c r="DD67" i="9"/>
  <c r="DD88" i="9" s="1"/>
  <c r="BB16" i="17" s="1"/>
  <c r="AX38" i="17" s="1"/>
  <c r="DB63" i="9"/>
  <c r="DB84" i="9" s="1"/>
  <c r="AZ12" i="17" s="1"/>
  <c r="AV34" i="17" s="1"/>
  <c r="AV54" i="17" s="1"/>
  <c r="AG75" i="5"/>
  <c r="AJ76" i="5"/>
  <c r="DE64" i="9"/>
  <c r="DE85" i="9" s="1"/>
  <c r="BC13" i="17" s="1"/>
  <c r="AY35" i="17" s="1"/>
  <c r="AE76" i="5"/>
  <c r="CZ64" i="9"/>
  <c r="CZ85" i="9" s="1"/>
  <c r="AX13" i="17" s="1"/>
  <c r="AT35" i="17" s="1"/>
  <c r="AT55" i="17" s="1"/>
  <c r="AG76" i="5"/>
  <c r="DB64" i="9"/>
  <c r="DB85" i="9" s="1"/>
  <c r="AZ13" i="17" s="1"/>
  <c r="AV35" i="17" s="1"/>
  <c r="AV55" i="17" s="1"/>
  <c r="AK118" i="5"/>
  <c r="CZ66" i="9"/>
  <c r="AE78" i="5"/>
  <c r="CZ75" i="9"/>
  <c r="CZ96" i="9" s="1"/>
  <c r="AX24" i="17" s="1"/>
  <c r="AT46" i="17" s="1"/>
  <c r="AT128" i="17" s="1"/>
  <c r="AE149" i="5"/>
  <c r="AK99" i="5"/>
  <c r="AK77" i="5"/>
  <c r="AK100" i="5"/>
  <c r="AE150" i="5"/>
  <c r="CZ76" i="9"/>
  <c r="CZ97" i="9" s="1"/>
  <c r="AX25" i="17" s="1"/>
  <c r="AT47" i="17" s="1"/>
  <c r="AT129" i="17" s="1"/>
  <c r="AE37" i="5"/>
  <c r="AE60" i="5" s="1"/>
  <c r="AK149" i="5"/>
  <c r="AK78" i="5"/>
  <c r="AE38" i="5"/>
  <c r="AE61" i="5" s="1"/>
  <c r="AE40" i="5"/>
  <c r="AE63" i="5" s="1"/>
  <c r="AK150" i="5"/>
  <c r="CY63" i="9"/>
  <c r="CY84" i="9" s="1"/>
  <c r="AW12" i="17" s="1"/>
  <c r="AS34" i="17" s="1"/>
  <c r="AS54" i="17" s="1"/>
  <c r="AD75" i="5"/>
  <c r="DD64" i="9"/>
  <c r="DD85" i="9" s="1"/>
  <c r="BB13" i="17" s="1"/>
  <c r="AX35" i="17" s="1"/>
  <c r="AX55" i="17" s="1"/>
  <c r="AI76" i="5"/>
  <c r="DC64" i="9"/>
  <c r="DC85" i="9" s="1"/>
  <c r="BA13" i="17" s="1"/>
  <c r="AW35" i="17" s="1"/>
  <c r="AW55" i="17" s="1"/>
  <c r="AH76" i="5"/>
  <c r="DE60" i="9"/>
  <c r="DE81" i="9" s="1"/>
  <c r="BC9" i="17" s="1"/>
  <c r="AY31" i="17" s="1"/>
  <c r="AH97" i="5"/>
  <c r="DC67" i="9"/>
  <c r="DC88" i="9" s="1"/>
  <c r="BA16" i="17" s="1"/>
  <c r="AW38" i="17" s="1"/>
  <c r="AG97" i="5"/>
  <c r="DB67" i="9"/>
  <c r="DB88" i="9" s="1"/>
  <c r="AZ16" i="17" s="1"/>
  <c r="AV38" i="17" s="1"/>
  <c r="DC63" i="9"/>
  <c r="DC84" i="9" s="1"/>
  <c r="BA12" i="17" s="1"/>
  <c r="AW34" i="17" s="1"/>
  <c r="AW54" i="17" s="1"/>
  <c r="AH75" i="5"/>
  <c r="DC60" i="9"/>
  <c r="DC81" i="9" s="1"/>
  <c r="BA9" i="17" s="1"/>
  <c r="AW31" i="17" s="1"/>
  <c r="AE97" i="5"/>
  <c r="CZ67" i="9"/>
  <c r="CZ88" i="9" s="1"/>
  <c r="AX16" i="17" s="1"/>
  <c r="AT38" i="17" s="1"/>
  <c r="AT76" i="17" s="1"/>
  <c r="AE32" i="5"/>
  <c r="AE55" i="5" s="1"/>
  <c r="AD39" i="5"/>
  <c r="AD62" i="5" s="1"/>
  <c r="AC28" i="5"/>
  <c r="AC37" i="5"/>
  <c r="AC60" i="5" s="1"/>
  <c r="AC41" i="5"/>
  <c r="AC64" i="5" s="1"/>
  <c r="AD37" i="5"/>
  <c r="AD60" i="5" s="1"/>
  <c r="AC38" i="5"/>
  <c r="AC61" i="5" s="1"/>
  <c r="AC31" i="5"/>
  <c r="AC54" i="5" s="1"/>
  <c r="CX62" i="9" s="1"/>
  <c r="CX83" i="9" s="1"/>
  <c r="AV11" i="17" s="1"/>
  <c r="AR33" i="17" s="1"/>
  <c r="AC30" i="5"/>
  <c r="AC53" i="5" s="1"/>
  <c r="CX61" i="9" s="1"/>
  <c r="CX82" i="9" s="1"/>
  <c r="AV10" i="17" s="1"/>
  <c r="AR32" i="17" s="1"/>
  <c r="AD41" i="5"/>
  <c r="AD64" i="5" s="1"/>
  <c r="AD43" i="5"/>
  <c r="AD66" i="5" s="1"/>
  <c r="AC35" i="5"/>
  <c r="AC58" i="5" s="1"/>
  <c r="AC34" i="5"/>
  <c r="AC57" i="5" s="1"/>
  <c r="AC44" i="5"/>
  <c r="AC67" i="5" s="1"/>
  <c r="AD30" i="5"/>
  <c r="AD53" i="5" s="1"/>
  <c r="CY61" i="9" s="1"/>
  <c r="CY82" i="9" s="1"/>
  <c r="AW10" i="17" s="1"/>
  <c r="AS32" i="17" s="1"/>
  <c r="AD29" i="5"/>
  <c r="AD52" i="5" s="1"/>
  <c r="CY60" i="9" s="1"/>
  <c r="CY81" i="9" s="1"/>
  <c r="AW9" i="17" s="1"/>
  <c r="AS31" i="17" s="1"/>
  <c r="AC29" i="5"/>
  <c r="AC52" i="5" s="1"/>
  <c r="CX60" i="9" s="1"/>
  <c r="CX81" i="9" s="1"/>
  <c r="AV9" i="17" s="1"/>
  <c r="AR31" i="17" s="1"/>
  <c r="AC43" i="5"/>
  <c r="AC66" i="5" s="1"/>
  <c r="AC42" i="5"/>
  <c r="AC65" i="5" s="1"/>
  <c r="AD35" i="5"/>
  <c r="AD58" i="5" s="1"/>
  <c r="AD44" i="5"/>
  <c r="AD67" i="5" s="1"/>
  <c r="AD31" i="5"/>
  <c r="AD54" i="5" s="1"/>
  <c r="CY62" i="9" s="1"/>
  <c r="CY83" i="9" s="1"/>
  <c r="AW11" i="17" s="1"/>
  <c r="AS33" i="17" s="1"/>
  <c r="AD45" i="5"/>
  <c r="AD68" i="5" s="1"/>
  <c r="AC40" i="5"/>
  <c r="AC63" i="5" s="1"/>
  <c r="AC39" i="5"/>
  <c r="AC62" i="5" s="1"/>
  <c r="AC45" i="5"/>
  <c r="AC68" i="5" s="1"/>
  <c r="AD38" i="5"/>
  <c r="AD61" i="5" s="1"/>
  <c r="AD40" i="5"/>
  <c r="AD63" i="5" s="1"/>
  <c r="AD34" i="5"/>
  <c r="AD57" i="5" s="1"/>
  <c r="AD28" i="5"/>
  <c r="AD42" i="5"/>
  <c r="AD65" i="5" s="1"/>
  <c r="DE80" i="9" l="1"/>
  <c r="CZ80" i="9"/>
  <c r="AE119" i="5"/>
  <c r="AE120" i="5"/>
  <c r="CY69" i="9"/>
  <c r="CY90" i="9" s="1"/>
  <c r="AW18" i="17" s="1"/>
  <c r="AS40" i="17" s="1"/>
  <c r="AS78" i="17" s="1"/>
  <c r="AD99" i="5"/>
  <c r="CX74" i="9"/>
  <c r="CX95" i="9" s="1"/>
  <c r="AV23" i="17" s="1"/>
  <c r="AR45" i="17" s="1"/>
  <c r="AR100" i="17" s="1"/>
  <c r="AC121" i="5"/>
  <c r="AC149" i="5"/>
  <c r="CX75" i="9"/>
  <c r="CX96" i="9" s="1"/>
  <c r="AV24" i="17" s="1"/>
  <c r="AR46" i="17" s="1"/>
  <c r="AR128" i="17" s="1"/>
  <c r="CX65" i="9"/>
  <c r="AC77" i="5"/>
  <c r="AD98" i="5"/>
  <c r="CY68" i="9"/>
  <c r="CY89" i="9" s="1"/>
  <c r="AW17" i="17" s="1"/>
  <c r="AS39" i="17" s="1"/>
  <c r="AS77" i="17" s="1"/>
  <c r="CX72" i="9"/>
  <c r="CX93" i="9" s="1"/>
  <c r="AV21" i="17" s="1"/>
  <c r="AR43" i="17" s="1"/>
  <c r="AR98" i="17" s="1"/>
  <c r="AC119" i="5"/>
  <c r="AC49" i="5"/>
  <c r="AC51" i="5"/>
  <c r="AD100" i="5"/>
  <c r="CY70" i="9"/>
  <c r="CY91" i="9" s="1"/>
  <c r="AW19" i="17" s="1"/>
  <c r="AS41" i="17" s="1"/>
  <c r="AS79" i="17" s="1"/>
  <c r="AE75" i="5"/>
  <c r="CZ63" i="9"/>
  <c r="CZ84" i="9" s="1"/>
  <c r="AX12" i="17" s="1"/>
  <c r="AT34" i="17" s="1"/>
  <c r="AT54" i="17" s="1"/>
  <c r="AI150" i="5"/>
  <c r="DD76" i="9"/>
  <c r="DD97" i="9" s="1"/>
  <c r="BB25" i="17" s="1"/>
  <c r="AX47" i="17" s="1"/>
  <c r="DC76" i="9"/>
  <c r="DC97" i="9" s="1"/>
  <c r="BA25" i="17" s="1"/>
  <c r="AW47" i="17" s="1"/>
  <c r="AH150" i="5"/>
  <c r="AE99" i="5"/>
  <c r="CZ69" i="9"/>
  <c r="CZ90" i="9" s="1"/>
  <c r="AX18" i="17" s="1"/>
  <c r="AT40" i="17" s="1"/>
  <c r="AT78" i="17" s="1"/>
  <c r="AG78" i="5"/>
  <c r="DB66" i="9"/>
  <c r="DB87" i="9" s="1"/>
  <c r="AZ15" i="17" s="1"/>
  <c r="AV37" i="17" s="1"/>
  <c r="AV57" i="17" s="1"/>
  <c r="DD66" i="9"/>
  <c r="DD87" i="9" s="1"/>
  <c r="BB15" i="17" s="1"/>
  <c r="AX37" i="17" s="1"/>
  <c r="AX57" i="17" s="1"/>
  <c r="AI78" i="5"/>
  <c r="DC75" i="9"/>
  <c r="DC96" i="9" s="1"/>
  <c r="BA24" i="17" s="1"/>
  <c r="AW46" i="17" s="1"/>
  <c r="AH149" i="5"/>
  <c r="DD75" i="9"/>
  <c r="DD96" i="9" s="1"/>
  <c r="BB24" i="17" s="1"/>
  <c r="AX46" i="17" s="1"/>
  <c r="AI149" i="5"/>
  <c r="AJ100" i="5"/>
  <c r="DE70" i="9"/>
  <c r="DE91" i="9" s="1"/>
  <c r="BC19" i="17" s="1"/>
  <c r="AY41" i="17" s="1"/>
  <c r="DB70" i="9"/>
  <c r="DB91" i="9" s="1"/>
  <c r="AZ19" i="17" s="1"/>
  <c r="AV41" i="17" s="1"/>
  <c r="AG100" i="5"/>
  <c r="DC59" i="9"/>
  <c r="AH69" i="5"/>
  <c r="DE65" i="9"/>
  <c r="DE86" i="9" s="1"/>
  <c r="BC14" i="17" s="1"/>
  <c r="AY36" i="17" s="1"/>
  <c r="AJ77" i="5"/>
  <c r="DC65" i="9"/>
  <c r="DC86" i="9" s="1"/>
  <c r="BA14" i="17" s="1"/>
  <c r="AW36" i="17" s="1"/>
  <c r="AW56" i="17" s="1"/>
  <c r="AH77" i="5"/>
  <c r="DC69" i="9"/>
  <c r="DC90" i="9" s="1"/>
  <c r="BA18" i="17" s="1"/>
  <c r="AW40" i="17" s="1"/>
  <c r="AH99" i="5"/>
  <c r="DB69" i="9"/>
  <c r="DB90" i="9" s="1"/>
  <c r="AZ18" i="17" s="1"/>
  <c r="AV40" i="17" s="1"/>
  <c r="AG99" i="5"/>
  <c r="AE69" i="5"/>
  <c r="AH118" i="5"/>
  <c r="DC71" i="9"/>
  <c r="DC92" i="9" s="1"/>
  <c r="BA20" i="17" s="1"/>
  <c r="AW42" i="17" s="1"/>
  <c r="AW97" i="17" s="1"/>
  <c r="DE71" i="9"/>
  <c r="DE92" i="9" s="1"/>
  <c r="BC20" i="17" s="1"/>
  <c r="AY42" i="17" s="1"/>
  <c r="AJ118" i="5"/>
  <c r="AE100" i="5"/>
  <c r="CZ70" i="9"/>
  <c r="CZ91" i="9" s="1"/>
  <c r="AX19" i="17" s="1"/>
  <c r="AT41" i="17" s="1"/>
  <c r="AT79" i="17" s="1"/>
  <c r="DE72" i="9"/>
  <c r="DE93" i="9" s="1"/>
  <c r="BC21" i="17" s="1"/>
  <c r="AY43" i="17" s="1"/>
  <c r="AJ119" i="5"/>
  <c r="AI119" i="5"/>
  <c r="DD72" i="9"/>
  <c r="DD93" i="9" s="1"/>
  <c r="BB21" i="17" s="1"/>
  <c r="AX43" i="17" s="1"/>
  <c r="AX98" i="17" s="1"/>
  <c r="DD73" i="9"/>
  <c r="DD94" i="9" s="1"/>
  <c r="BB22" i="17" s="1"/>
  <c r="AX44" i="17" s="1"/>
  <c r="AX99" i="17" s="1"/>
  <c r="AI120" i="5"/>
  <c r="AG120" i="5"/>
  <c r="DB73" i="9"/>
  <c r="DB94" i="9" s="1"/>
  <c r="AZ22" i="17" s="1"/>
  <c r="AV44" i="17" s="1"/>
  <c r="AV99" i="17" s="1"/>
  <c r="AJ121" i="5"/>
  <c r="DE74" i="9"/>
  <c r="DE95" i="9" s="1"/>
  <c r="BC23" i="17" s="1"/>
  <c r="AY45" i="17" s="1"/>
  <c r="AG121" i="5"/>
  <c r="DB74" i="9"/>
  <c r="DB95" i="9" s="1"/>
  <c r="AZ23" i="17" s="1"/>
  <c r="AV45" i="17" s="1"/>
  <c r="AV100" i="17" s="1"/>
  <c r="DC68" i="9"/>
  <c r="DC89" i="9" s="1"/>
  <c r="BA17" i="17" s="1"/>
  <c r="AW39" i="17" s="1"/>
  <c r="AH98" i="5"/>
  <c r="DB68" i="9"/>
  <c r="DB89" i="9" s="1"/>
  <c r="AZ17" i="17" s="1"/>
  <c r="AV39" i="17" s="1"/>
  <c r="AG98" i="5"/>
  <c r="AJ69" i="5"/>
  <c r="CY73" i="9"/>
  <c r="CY94" i="9" s="1"/>
  <c r="AW22" i="17" s="1"/>
  <c r="AS44" i="17" s="1"/>
  <c r="AS99" i="17" s="1"/>
  <c r="AD120" i="5"/>
  <c r="AC150" i="5"/>
  <c r="CX76" i="9"/>
  <c r="CX97" i="9" s="1"/>
  <c r="AV25" i="17" s="1"/>
  <c r="AR47" i="17" s="1"/>
  <c r="AR129" i="17" s="1"/>
  <c r="AD149" i="5"/>
  <c r="CY75" i="9"/>
  <c r="CY96" i="9" s="1"/>
  <c r="AW24" i="17" s="1"/>
  <c r="AS46" i="17" s="1"/>
  <c r="AS128" i="17" s="1"/>
  <c r="AD51" i="5"/>
  <c r="AD49" i="5"/>
  <c r="AD77" i="5"/>
  <c r="CY65" i="9"/>
  <c r="CY71" i="9"/>
  <c r="CY92" i="9" s="1"/>
  <c r="AW20" i="17" s="1"/>
  <c r="AS42" i="17" s="1"/>
  <c r="AS97" i="17" s="1"/>
  <c r="AD118" i="5"/>
  <c r="AC100" i="5"/>
  <c r="CX70" i="9"/>
  <c r="CX91" i="9" s="1"/>
  <c r="AV19" i="17" s="1"/>
  <c r="AR41" i="17" s="1"/>
  <c r="AR79" i="17" s="1"/>
  <c r="CX71" i="9"/>
  <c r="CX92" i="9" s="1"/>
  <c r="AV20" i="17" s="1"/>
  <c r="AR42" i="17" s="1"/>
  <c r="AR97" i="17" s="1"/>
  <c r="AC118" i="5"/>
  <c r="CY76" i="9"/>
  <c r="CY97" i="9" s="1"/>
  <c r="AW25" i="17" s="1"/>
  <c r="AS47" i="17" s="1"/>
  <c r="AS129" i="17" s="1"/>
  <c r="AD150" i="5"/>
  <c r="AD78" i="5"/>
  <c r="CY66" i="9"/>
  <c r="CX73" i="9"/>
  <c r="CX94" i="9" s="1"/>
  <c r="AV22" i="17" s="1"/>
  <c r="AR44" i="17" s="1"/>
  <c r="AR99" i="17" s="1"/>
  <c r="AC120" i="5"/>
  <c r="AC78" i="5"/>
  <c r="CX66" i="9"/>
  <c r="CY74" i="9"/>
  <c r="CY95" i="9" s="1"/>
  <c r="AW23" i="17" s="1"/>
  <c r="AS45" i="17" s="1"/>
  <c r="AS100" i="17" s="1"/>
  <c r="AD121" i="5"/>
  <c r="CY72" i="9"/>
  <c r="CY93" i="9" s="1"/>
  <c r="AW21" i="17" s="1"/>
  <c r="AS43" i="17" s="1"/>
  <c r="AS98" i="17" s="1"/>
  <c r="AD119" i="5"/>
  <c r="CX69" i="9"/>
  <c r="CX90" i="9" s="1"/>
  <c r="AV18" i="17" s="1"/>
  <c r="AR40" i="17" s="1"/>
  <c r="AR78" i="17" s="1"/>
  <c r="AC99" i="5"/>
  <c r="AC98" i="5"/>
  <c r="CX68" i="9"/>
  <c r="CX89" i="9" s="1"/>
  <c r="AV17" i="17" s="1"/>
  <c r="AR39" i="17" s="1"/>
  <c r="AR77" i="17" s="1"/>
  <c r="DB59" i="9"/>
  <c r="AG69" i="5"/>
  <c r="AG150" i="5"/>
  <c r="DB76" i="9"/>
  <c r="DB97" i="9" s="1"/>
  <c r="AZ25" i="17" s="1"/>
  <c r="AV47" i="17" s="1"/>
  <c r="DE76" i="9"/>
  <c r="DE97" i="9" s="1"/>
  <c r="BC25" i="17" s="1"/>
  <c r="AY47" i="17" s="1"/>
  <c r="AJ150" i="5"/>
  <c r="AE118" i="5"/>
  <c r="CZ71" i="9"/>
  <c r="CZ92" i="9" s="1"/>
  <c r="AX20" i="17" s="1"/>
  <c r="AT42" i="17" s="1"/>
  <c r="AT97" i="17" s="1"/>
  <c r="DC66" i="9"/>
  <c r="DC87" i="9" s="1"/>
  <c r="BA15" i="17" s="1"/>
  <c r="AW37" i="17" s="1"/>
  <c r="AW57" i="17" s="1"/>
  <c r="AH78" i="5"/>
  <c r="AJ78" i="5"/>
  <c r="DE66" i="9"/>
  <c r="DE87" i="9" s="1"/>
  <c r="BC15" i="17" s="1"/>
  <c r="AY37" i="17" s="1"/>
  <c r="DB75" i="9"/>
  <c r="DB96" i="9" s="1"/>
  <c r="AZ24" i="17" s="1"/>
  <c r="AV46" i="17" s="1"/>
  <c r="AG149" i="5"/>
  <c r="DE75" i="9"/>
  <c r="DE96" i="9" s="1"/>
  <c r="BC24" i="17" s="1"/>
  <c r="AY46" i="17" s="1"/>
  <c r="AJ149" i="5"/>
  <c r="CZ68" i="9"/>
  <c r="CZ89" i="9" s="1"/>
  <c r="AX17" i="17" s="1"/>
  <c r="AT39" i="17" s="1"/>
  <c r="AT77" i="17" s="1"/>
  <c r="AE98" i="5"/>
  <c r="AI100" i="5"/>
  <c r="DD70" i="9"/>
  <c r="DD91" i="9" s="1"/>
  <c r="BB19" i="17" s="1"/>
  <c r="AX41" i="17" s="1"/>
  <c r="AH100" i="5"/>
  <c r="DC70" i="9"/>
  <c r="DC91" i="9" s="1"/>
  <c r="BA19" i="17" s="1"/>
  <c r="AW41" i="17" s="1"/>
  <c r="DD59" i="9"/>
  <c r="AI69" i="5"/>
  <c r="AK69" i="5"/>
  <c r="AG77" i="5"/>
  <c r="DB65" i="9"/>
  <c r="DB86" i="9" s="1"/>
  <c r="AZ14" i="17" s="1"/>
  <c r="AV36" i="17" s="1"/>
  <c r="AV56" i="17" s="1"/>
  <c r="DD65" i="9"/>
  <c r="DD86" i="9" s="1"/>
  <c r="BB14" i="17" s="1"/>
  <c r="AX36" i="17" s="1"/>
  <c r="AX56" i="17" s="1"/>
  <c r="AI77" i="5"/>
  <c r="DE69" i="9"/>
  <c r="DE90" i="9" s="1"/>
  <c r="BC18" i="17" s="1"/>
  <c r="AY40" i="17" s="1"/>
  <c r="AJ99" i="5"/>
  <c r="DD69" i="9"/>
  <c r="DD90" i="9" s="1"/>
  <c r="BB18" i="17" s="1"/>
  <c r="AX40" i="17" s="1"/>
  <c r="AI99" i="5"/>
  <c r="AX8" i="17"/>
  <c r="DB71" i="9"/>
  <c r="DB92" i="9" s="1"/>
  <c r="AZ20" i="17" s="1"/>
  <c r="AV42" i="17" s="1"/>
  <c r="AV97" i="17" s="1"/>
  <c r="AG118" i="5"/>
  <c r="AI118" i="5"/>
  <c r="DD71" i="9"/>
  <c r="DD92" i="9" s="1"/>
  <c r="BB20" i="17" s="1"/>
  <c r="AX42" i="17" s="1"/>
  <c r="AX97" i="17" s="1"/>
  <c r="DC72" i="9"/>
  <c r="DC93" i="9" s="1"/>
  <c r="BA21" i="17" s="1"/>
  <c r="AW43" i="17" s="1"/>
  <c r="AW98" i="17" s="1"/>
  <c r="AH119" i="5"/>
  <c r="AG119" i="5"/>
  <c r="DB72" i="9"/>
  <c r="DB93" i="9" s="1"/>
  <c r="AZ21" i="17" s="1"/>
  <c r="AV43" i="17" s="1"/>
  <c r="AV98" i="17" s="1"/>
  <c r="DE73" i="9"/>
  <c r="DE94" i="9" s="1"/>
  <c r="BC22" i="17" s="1"/>
  <c r="AY44" i="17" s="1"/>
  <c r="AJ120" i="5"/>
  <c r="AH120" i="5"/>
  <c r="DC73" i="9"/>
  <c r="DC94" i="9" s="1"/>
  <c r="BA22" i="17" s="1"/>
  <c r="AW44" i="17" s="1"/>
  <c r="AW99" i="17" s="1"/>
  <c r="CZ74" i="9"/>
  <c r="CZ95" i="9" s="1"/>
  <c r="AX23" i="17" s="1"/>
  <c r="AT45" i="17" s="1"/>
  <c r="AT100" i="17" s="1"/>
  <c r="AE121" i="5"/>
  <c r="AH121" i="5"/>
  <c r="DC74" i="9"/>
  <c r="DC95" i="9" s="1"/>
  <c r="BA23" i="17" s="1"/>
  <c r="AW45" i="17" s="1"/>
  <c r="AW100" i="17" s="1"/>
  <c r="DD74" i="9"/>
  <c r="DD95" i="9" s="1"/>
  <c r="BB23" i="17" s="1"/>
  <c r="AX45" i="17" s="1"/>
  <c r="AX100" i="17" s="1"/>
  <c r="AI121" i="5"/>
  <c r="AE77" i="5"/>
  <c r="CZ65" i="9"/>
  <c r="DD68" i="9"/>
  <c r="DD89" i="9" s="1"/>
  <c r="BB17" i="17" s="1"/>
  <c r="AX39" i="17" s="1"/>
  <c r="AI98" i="5"/>
  <c r="DE68" i="9"/>
  <c r="DE89" i="9" s="1"/>
  <c r="BC17" i="17" s="1"/>
  <c r="AY39" i="17" s="1"/>
  <c r="AJ98" i="5"/>
  <c r="BC8" i="17"/>
  <c r="DC80" i="9" l="1"/>
  <c r="DC98" i="9" s="1"/>
  <c r="DC77" i="9"/>
  <c r="DD80" i="9"/>
  <c r="DD77" i="9"/>
  <c r="CZ77" i="9"/>
  <c r="DE77" i="9"/>
  <c r="DB80" i="9"/>
  <c r="DB98" i="9" s="1"/>
  <c r="DB77" i="9"/>
  <c r="DE98" i="9"/>
  <c r="DD98" i="9"/>
  <c r="BB8" i="17"/>
  <c r="AY30" i="17"/>
  <c r="BC26" i="17"/>
  <c r="BC27" i="17" s="1"/>
  <c r="AT30" i="17"/>
  <c r="AC69" i="5"/>
  <c r="CX59" i="9"/>
  <c r="CY59" i="9"/>
  <c r="AD69" i="5"/>
  <c r="BA8" i="17" l="1"/>
  <c r="AW30" i="17" s="1"/>
  <c r="CY80" i="9"/>
  <c r="CY77" i="9"/>
  <c r="AZ8" i="17"/>
  <c r="CX80" i="9"/>
  <c r="AV8" i="17" s="1"/>
  <c r="CX77" i="9"/>
  <c r="AX30" i="17"/>
  <c r="BB26" i="17"/>
  <c r="BB27" i="17" s="1"/>
  <c r="AW8" i="17"/>
  <c r="AV30" i="17"/>
  <c r="AZ26" i="17"/>
  <c r="AZ27" i="17" s="1"/>
  <c r="BA26" i="17" l="1"/>
  <c r="BA27" i="17" s="1"/>
  <c r="AR30" i="17"/>
  <c r="AS30" i="17"/>
  <c r="H35" i="5" l="1"/>
  <c r="H58" i="5" s="1"/>
  <c r="H78" i="5" s="1"/>
  <c r="I35" i="5"/>
  <c r="I58" i="5" s="1"/>
  <c r="H39" i="5"/>
  <c r="H62" i="5" s="1"/>
  <c r="C8" i="19"/>
  <c r="H43" i="5"/>
  <c r="H66" i="5" s="1"/>
  <c r="I39" i="5"/>
  <c r="I62" i="5" s="1"/>
  <c r="H32" i="5"/>
  <c r="H55" i="5" s="1"/>
  <c r="H36" i="5"/>
  <c r="H59" i="5" s="1"/>
  <c r="H41" i="5"/>
  <c r="H64" i="5" s="1"/>
  <c r="I40" i="5"/>
  <c r="I63" i="5" s="1"/>
  <c r="H44" i="5"/>
  <c r="H67" i="5" s="1"/>
  <c r="H38" i="5"/>
  <c r="H61" i="5" s="1"/>
  <c r="H34" i="5"/>
  <c r="H57" i="5" s="1"/>
  <c r="H45" i="5"/>
  <c r="H68" i="5" s="1"/>
  <c r="H42" i="5"/>
  <c r="H65" i="5" s="1"/>
  <c r="H37" i="5"/>
  <c r="H60" i="5" s="1"/>
  <c r="H31" i="5"/>
  <c r="H54" i="5" s="1"/>
  <c r="CC62" i="9" s="1"/>
  <c r="CC83" i="9" s="1"/>
  <c r="H28" i="5"/>
  <c r="H40" i="5"/>
  <c r="H63" i="5" s="1"/>
  <c r="H33" i="5"/>
  <c r="H56" i="5" s="1"/>
  <c r="CC66" i="9" l="1"/>
  <c r="H30" i="5"/>
  <c r="H53" i="5" s="1"/>
  <c r="CC61" i="9" s="1"/>
  <c r="CC82" i="9" s="1"/>
  <c r="H29" i="5"/>
  <c r="H52" i="5" s="1"/>
  <c r="CC60" i="9" s="1"/>
  <c r="CC81" i="9" s="1"/>
  <c r="AA9" i="17" s="1"/>
  <c r="W31" i="17" s="1"/>
  <c r="I38" i="5"/>
  <c r="I61" i="5" s="1"/>
  <c r="I34" i="5"/>
  <c r="I57" i="5" s="1"/>
  <c r="I44" i="5"/>
  <c r="I67" i="5" s="1"/>
  <c r="I43" i="5"/>
  <c r="I66" i="5" s="1"/>
  <c r="H77" i="5"/>
  <c r="CC65" i="9"/>
  <c r="H99" i="5"/>
  <c r="CC69" i="9"/>
  <c r="CC90" i="9" s="1"/>
  <c r="H149" i="5"/>
  <c r="CC75" i="9"/>
  <c r="CC96" i="9" s="1"/>
  <c r="I118" i="5"/>
  <c r="CD71" i="9"/>
  <c r="CD92" i="9" s="1"/>
  <c r="I33" i="5"/>
  <c r="I56" i="5" s="1"/>
  <c r="H97" i="5"/>
  <c r="CC67" i="9"/>
  <c r="CC88" i="9" s="1"/>
  <c r="H75" i="5"/>
  <c r="CC63" i="9"/>
  <c r="CC84" i="9" s="1"/>
  <c r="I100" i="5"/>
  <c r="CD70" i="9"/>
  <c r="CD91" i="9" s="1"/>
  <c r="AA10" i="17"/>
  <c r="W32" i="17" s="1"/>
  <c r="H76" i="5"/>
  <c r="CC64" i="9"/>
  <c r="CC85" i="9" s="1"/>
  <c r="I36" i="5"/>
  <c r="I59" i="5" s="1"/>
  <c r="I32" i="5"/>
  <c r="I55" i="5" s="1"/>
  <c r="H118" i="5"/>
  <c r="CC71" i="9"/>
  <c r="CC92" i="9" s="1"/>
  <c r="H49" i="5"/>
  <c r="H51" i="5"/>
  <c r="AA11" i="17"/>
  <c r="W33" i="17" s="1"/>
  <c r="H98" i="5"/>
  <c r="CC68" i="9"/>
  <c r="CC89" i="9" s="1"/>
  <c r="I42" i="5"/>
  <c r="I65" i="5" s="1"/>
  <c r="H120" i="5"/>
  <c r="CC73" i="9"/>
  <c r="CC94" i="9" s="1"/>
  <c r="H150" i="5"/>
  <c r="CC76" i="9"/>
  <c r="CC97" i="9" s="1"/>
  <c r="H119" i="5"/>
  <c r="CC72" i="9"/>
  <c r="CC93" i="9" s="1"/>
  <c r="H121" i="5"/>
  <c r="CC74" i="9"/>
  <c r="CC95" i="9" s="1"/>
  <c r="I41" i="5"/>
  <c r="I64" i="5" s="1"/>
  <c r="I45" i="5"/>
  <c r="I68" i="5" s="1"/>
  <c r="I31" i="5"/>
  <c r="I54" i="5" s="1"/>
  <c r="CD62" i="9" s="1"/>
  <c r="CD83" i="9" s="1"/>
  <c r="I37" i="5"/>
  <c r="I60" i="5" s="1"/>
  <c r="H100" i="5"/>
  <c r="CC70" i="9"/>
  <c r="CC91" i="9" s="1"/>
  <c r="CD66" i="9"/>
  <c r="I78" i="5"/>
  <c r="I119" i="5" l="1"/>
  <c r="CD72" i="9"/>
  <c r="CD93" i="9" s="1"/>
  <c r="AA17" i="17"/>
  <c r="W39" i="17" s="1"/>
  <c r="AA19" i="17"/>
  <c r="W41" i="17" s="1"/>
  <c r="I98" i="5"/>
  <c r="CD68" i="9"/>
  <c r="CD89" i="9" s="1"/>
  <c r="I150" i="5"/>
  <c r="CD76" i="9"/>
  <c r="CD97" i="9" s="1"/>
  <c r="AA23" i="17"/>
  <c r="W45" i="17" s="1"/>
  <c r="AA21" i="17"/>
  <c r="W43" i="17" s="1"/>
  <c r="AA25" i="17"/>
  <c r="W47" i="17" s="1"/>
  <c r="AA22" i="17"/>
  <c r="W44" i="17" s="1"/>
  <c r="I120" i="5"/>
  <c r="CD73" i="9"/>
  <c r="CD94" i="9" s="1"/>
  <c r="CD67" i="9"/>
  <c r="CD88" i="9" s="1"/>
  <c r="I97" i="5"/>
  <c r="AA16" i="17"/>
  <c r="W38" i="17" s="1"/>
  <c r="I76" i="5"/>
  <c r="CD64" i="9"/>
  <c r="CD85" i="9" s="1"/>
  <c r="I149" i="5"/>
  <c r="CD75" i="9"/>
  <c r="CD96" i="9" s="1"/>
  <c r="I77" i="5"/>
  <c r="CD65" i="9"/>
  <c r="AB11" i="17"/>
  <c r="X33" i="17" s="1"/>
  <c r="H69" i="5"/>
  <c r="CC59" i="9"/>
  <c r="AA20" i="17"/>
  <c r="W42" i="17" s="1"/>
  <c r="I75" i="5"/>
  <c r="CD63" i="9"/>
  <c r="CD84" i="9" s="1"/>
  <c r="AA13" i="17"/>
  <c r="W35" i="17" s="1"/>
  <c r="AB19" i="17"/>
  <c r="X41" i="17" s="1"/>
  <c r="AA12" i="17"/>
  <c r="W34" i="17" s="1"/>
  <c r="I29" i="5"/>
  <c r="I52" i="5" s="1"/>
  <c r="CD60" i="9" s="1"/>
  <c r="CD81" i="9" s="1"/>
  <c r="AB20" i="17"/>
  <c r="X42" i="17" s="1"/>
  <c r="I30" i="5"/>
  <c r="I53" i="5" s="1"/>
  <c r="CD61" i="9" s="1"/>
  <c r="CD82" i="9" s="1"/>
  <c r="AA24" i="17"/>
  <c r="W46" i="17" s="1"/>
  <c r="AA18" i="17"/>
  <c r="W40" i="17" s="1"/>
  <c r="I121" i="5"/>
  <c r="CD74" i="9"/>
  <c r="CD95" i="9" s="1"/>
  <c r="I28" i="5"/>
  <c r="I99" i="5"/>
  <c r="CD69" i="9"/>
  <c r="CD90" i="9" s="1"/>
  <c r="CC80" i="9" l="1"/>
  <c r="CC77" i="9"/>
  <c r="W97" i="17"/>
  <c r="AB16" i="17"/>
  <c r="X38" i="17" s="1"/>
  <c r="AB18" i="17"/>
  <c r="X40" i="17" s="1"/>
  <c r="I49" i="5"/>
  <c r="I51" i="5"/>
  <c r="AB23" i="17"/>
  <c r="X45" i="17" s="1"/>
  <c r="W78" i="17"/>
  <c r="W128" i="17"/>
  <c r="AB10" i="17"/>
  <c r="X32" i="17" s="1"/>
  <c r="AB9" i="17"/>
  <c r="X31" i="17" s="1"/>
  <c r="W54" i="17"/>
  <c r="X79" i="17"/>
  <c r="W55" i="17"/>
  <c r="AB12" i="17"/>
  <c r="X34" i="17" s="1"/>
  <c r="CC98" i="9"/>
  <c r="AA8" i="17"/>
  <c r="W30" i="17" s="1"/>
  <c r="AB24" i="17"/>
  <c r="X46" i="17" s="1"/>
  <c r="AB13" i="17"/>
  <c r="X35" i="17" s="1"/>
  <c r="W76" i="17"/>
  <c r="AB22" i="17"/>
  <c r="X44" i="17" s="1"/>
  <c r="W99" i="17"/>
  <c r="W129" i="17"/>
  <c r="W98" i="17"/>
  <c r="W100" i="17"/>
  <c r="AB25" i="17"/>
  <c r="X47" i="17" s="1"/>
  <c r="AB17" i="17"/>
  <c r="X39" i="17" s="1"/>
  <c r="W79" i="17"/>
  <c r="W77" i="17"/>
  <c r="AB21" i="17"/>
  <c r="X43" i="17" s="1"/>
  <c r="X97" i="17"/>
  <c r="X54" i="17" l="1"/>
  <c r="X100" i="17"/>
  <c r="I69" i="5"/>
  <c r="BJ36" i="5" s="1" a="1"/>
  <c r="CD59" i="9"/>
  <c r="X78" i="17"/>
  <c r="X76" i="17"/>
  <c r="X98" i="17"/>
  <c r="X77" i="17"/>
  <c r="X129" i="17"/>
  <c r="X99" i="17"/>
  <c r="X55" i="17"/>
  <c r="X128" i="17"/>
  <c r="CD80" i="9" l="1"/>
  <c r="CD77" i="9"/>
  <c r="BJ39" i="5"/>
  <c r="BJ62" i="5"/>
  <c r="BJ38" i="5"/>
  <c r="BL38" i="9" s="1"/>
  <c r="BL84" i="9" s="1"/>
  <c r="BJ48" i="5"/>
  <c r="BL48" i="9" s="1"/>
  <c r="BL94" i="9" s="1"/>
  <c r="BJ37" i="5"/>
  <c r="BL37" i="9" s="1"/>
  <c r="BL83" i="9" s="1"/>
  <c r="BJ49" i="5"/>
  <c r="BL49" i="9" s="1"/>
  <c r="BL95" i="9" s="1"/>
  <c r="BJ50" i="5"/>
  <c r="BL50" i="9" s="1"/>
  <c r="BL96" i="9" s="1"/>
  <c r="BJ55" i="5"/>
  <c r="BL55" i="9" s="1"/>
  <c r="BL101" i="9" s="1"/>
  <c r="BJ60" i="5"/>
  <c r="BL60" i="9" s="1"/>
  <c r="BJ61" i="5"/>
  <c r="BL61" i="9" s="1"/>
  <c r="BJ45" i="5"/>
  <c r="BJ64" i="5"/>
  <c r="BL64" i="9" s="1"/>
  <c r="BJ56" i="5"/>
  <c r="BL56" i="9" s="1"/>
  <c r="BJ40" i="5"/>
  <c r="BL40" i="9" s="1"/>
  <c r="BL86" i="9" s="1"/>
  <c r="BJ58" i="5"/>
  <c r="BL58" i="9" s="1"/>
  <c r="BL104" i="9" s="1"/>
  <c r="BJ66" i="5"/>
  <c r="BL66" i="9" s="1"/>
  <c r="BJ36" i="5"/>
  <c r="BL36" i="9" s="1"/>
  <c r="BL82" i="9" s="1"/>
  <c r="BJ41" i="5"/>
  <c r="BL41" i="9" s="1"/>
  <c r="BL87" i="9" s="1"/>
  <c r="BJ59" i="5"/>
  <c r="BL59" i="9" s="1"/>
  <c r="BL105" i="9" s="1"/>
  <c r="BJ52" i="5"/>
  <c r="BL52" i="9" s="1"/>
  <c r="BL98" i="9" s="1"/>
  <c r="BJ57" i="5"/>
  <c r="BL57" i="9" s="1"/>
  <c r="BL103" i="9" s="1"/>
  <c r="BJ68" i="5"/>
  <c r="BL68" i="9" s="1"/>
  <c r="BJ44" i="5"/>
  <c r="BJ43" i="5"/>
  <c r="BJ42" i="5"/>
  <c r="BL42" i="9" s="1"/>
  <c r="BL88" i="9" s="1"/>
  <c r="BJ46" i="5"/>
  <c r="BL46" i="9" s="1"/>
  <c r="BL92" i="9" s="1"/>
  <c r="BJ47" i="5"/>
  <c r="BL47" i="9" s="1"/>
  <c r="BL93" i="9" s="1"/>
  <c r="BJ63" i="5"/>
  <c r="BL63" i="9" s="1"/>
  <c r="BJ51" i="5"/>
  <c r="BL51" i="9" s="1"/>
  <c r="BL97" i="9" s="1"/>
  <c r="BJ65" i="5"/>
  <c r="BL65" i="9" s="1"/>
  <c r="BJ67" i="5"/>
  <c r="BL67" i="9" s="1"/>
  <c r="BJ54" i="5"/>
  <c r="BL54" i="9" s="1"/>
  <c r="BL100" i="9" s="1"/>
  <c r="BJ53" i="5"/>
  <c r="BL53" i="9" s="1"/>
  <c r="BL99" i="9" s="1"/>
  <c r="BL62" i="9"/>
  <c r="BL44" i="9"/>
  <c r="BL90" i="9" s="1"/>
  <c r="BL43" i="9"/>
  <c r="BL89" i="9" s="1"/>
  <c r="BL39" i="9"/>
  <c r="BL45" i="9"/>
  <c r="BL91" i="9" s="1"/>
  <c r="CD98" i="9"/>
  <c r="AB8" i="17"/>
  <c r="BL77" i="9" l="1"/>
  <c r="BL76" i="9"/>
  <c r="BL102" i="9"/>
  <c r="BL85" i="9"/>
  <c r="AB26" i="17"/>
  <c r="AB27" i="17" s="1"/>
  <c r="X30" i="17"/>
  <c r="BB30" i="16" l="1"/>
  <c r="BB45" i="16"/>
  <c r="BB47" i="16"/>
  <c r="BB40" i="16"/>
  <c r="BB43" i="16"/>
  <c r="BB41" i="16"/>
  <c r="BB34" i="16"/>
  <c r="BB38" i="16"/>
  <c r="BB36" i="16"/>
  <c r="BB42" i="16"/>
  <c r="BB46" i="16"/>
  <c r="BB33" i="16"/>
  <c r="BB35" i="16"/>
  <c r="BB39" i="16"/>
  <c r="BB44" i="16"/>
  <c r="BB37" i="16"/>
  <c r="BB31" i="16"/>
  <c r="BB32" i="16" l="1"/>
  <c r="BF26" i="16"/>
  <c r="BF27" i="16" s="1"/>
  <c r="BA30" i="16" l="1"/>
  <c r="BA38" i="16"/>
  <c r="BA40" i="16"/>
  <c r="BA37" i="16"/>
  <c r="BA41" i="16"/>
  <c r="BA39" i="16"/>
  <c r="BA45" i="16"/>
  <c r="BA36" i="16"/>
  <c r="BA31" i="16"/>
  <c r="BA42" i="16"/>
  <c r="BA46" i="16"/>
  <c r="BA33" i="16"/>
  <c r="BA34" i="16"/>
  <c r="BA44" i="16"/>
  <c r="BA43" i="16"/>
  <c r="BA35" i="16"/>
  <c r="BA32" i="16" l="1"/>
  <c r="BE26" i="16" l="1"/>
  <c r="BE27" i="16" s="1"/>
  <c r="BA47" i="16"/>
  <c r="BD26" i="16" l="1"/>
  <c r="BD27" i="16" s="1"/>
  <c r="AX43" i="16" l="1"/>
  <c r="AX98" i="16" s="1"/>
  <c r="AW34" i="16"/>
  <c r="AW54" i="16" s="1"/>
  <c r="AW43" i="16"/>
  <c r="AW98" i="16" s="1"/>
  <c r="AW45" i="16"/>
  <c r="AW100" i="16" s="1"/>
  <c r="AX39" i="16"/>
  <c r="AX77" i="16" s="1"/>
  <c r="AW41" i="16"/>
  <c r="AW79" i="16" s="1"/>
  <c r="AX38" i="16"/>
  <c r="AX76" i="16" s="1"/>
  <c r="AX41" i="16"/>
  <c r="AX79" i="16" s="1"/>
  <c r="AW40" i="16"/>
  <c r="AW78" i="16" s="1"/>
  <c r="AX37" i="16"/>
  <c r="AX57" i="16" s="1"/>
  <c r="AW44" i="16"/>
  <c r="AW99" i="16" s="1"/>
  <c r="AW39" i="16"/>
  <c r="AW77" i="16" s="1"/>
  <c r="AX36" i="16"/>
  <c r="AX56" i="16" s="1"/>
  <c r="AX42" i="16"/>
  <c r="AX97" i="16" s="1"/>
  <c r="AX40" i="16"/>
  <c r="AX78" i="16" s="1"/>
  <c r="AW38" i="16"/>
  <c r="AW76" i="16" s="1"/>
  <c r="AX47" i="16"/>
  <c r="AX129" i="16" s="1"/>
  <c r="AX35" i="16"/>
  <c r="AX55" i="16" s="1"/>
  <c r="AW46" i="16"/>
  <c r="AW128" i="16" s="1"/>
  <c r="AW42" i="16"/>
  <c r="AW97" i="16" s="1"/>
  <c r="AX46" i="16"/>
  <c r="AX128" i="16" s="1"/>
  <c r="AX34" i="16"/>
  <c r="AX54" i="16" s="1"/>
  <c r="AW37" i="16"/>
  <c r="AW57" i="16" s="1"/>
  <c r="AW36" i="16"/>
  <c r="AW56" i="16" s="1"/>
  <c r="AX45" i="16"/>
  <c r="AX100" i="16" s="1"/>
  <c r="AX33" i="16"/>
  <c r="AW33" i="16"/>
  <c r="AW47" i="16"/>
  <c r="AW129" i="16" s="1"/>
  <c r="AW35" i="16"/>
  <c r="AW55" i="16" s="1"/>
  <c r="AX44" i="16"/>
  <c r="AX99" i="16" s="1"/>
  <c r="AY42" i="16" l="1"/>
  <c r="AY97" i="16" s="1"/>
  <c r="AY32" i="16"/>
  <c r="AY37" i="16"/>
  <c r="AY57" i="16" s="1"/>
  <c r="AY35" i="16"/>
  <c r="AY55" i="16" s="1"/>
  <c r="AY36" i="16"/>
  <c r="AY56" i="16" s="1"/>
  <c r="AY41" i="16"/>
  <c r="AY79" i="16" s="1"/>
  <c r="AY47" i="16"/>
  <c r="AY129" i="16" s="1"/>
  <c r="AW31" i="16"/>
  <c r="AW32" i="16"/>
  <c r="AY34" i="16"/>
  <c r="AY54" i="16" s="1"/>
  <c r="AX31" i="16"/>
  <c r="AY40" i="16"/>
  <c r="AY78" i="16" s="1"/>
  <c r="AY45" i="16"/>
  <c r="AY100" i="16" s="1"/>
  <c r="AY46" i="16"/>
  <c r="AY128" i="16" s="1"/>
  <c r="AY39" i="16"/>
  <c r="AY77" i="16" s="1"/>
  <c r="AY38" i="16"/>
  <c r="AY76" i="16" s="1"/>
  <c r="AY33" i="16"/>
  <c r="AX32" i="16"/>
  <c r="AY43" i="16"/>
  <c r="AY98" i="16" s="1"/>
  <c r="AY44" i="16"/>
  <c r="AY99" i="16" s="1"/>
  <c r="AX30" i="16" l="1"/>
  <c r="BB26" i="16"/>
  <c r="BB27" i="16" s="1"/>
  <c r="AY31" i="16"/>
  <c r="AM31" i="9"/>
  <c r="AM54" i="9" s="1"/>
  <c r="DH39" i="9" s="1"/>
  <c r="AL31" i="9"/>
  <c r="AL54" i="9" s="1"/>
  <c r="DG39" i="9" s="1"/>
  <c r="AK31" i="9"/>
  <c r="AK54" i="9" s="1"/>
  <c r="DF39" i="9" s="1"/>
  <c r="AW30" i="16"/>
  <c r="BA26" i="16"/>
  <c r="BA27" i="16" s="1"/>
  <c r="AM30" i="9"/>
  <c r="AM53" i="9" s="1"/>
  <c r="DH38" i="9" s="1"/>
  <c r="AL30" i="9"/>
  <c r="AL53" i="9" s="1"/>
  <c r="DG38" i="9" s="1"/>
  <c r="AK30" i="9"/>
  <c r="AK53" i="9" s="1"/>
  <c r="DF38" i="9" s="1"/>
  <c r="AM38" i="9" l="1"/>
  <c r="AM61" i="9" s="1"/>
  <c r="AL38" i="9"/>
  <c r="AL61" i="9" s="1"/>
  <c r="AK38" i="9"/>
  <c r="AK61" i="9" s="1"/>
  <c r="AM43" i="9"/>
  <c r="AM66" i="9" s="1"/>
  <c r="AL43" i="9"/>
  <c r="AL66" i="9" s="1"/>
  <c r="AK43" i="9"/>
  <c r="AK66" i="9" s="1"/>
  <c r="AM44" i="9"/>
  <c r="AM67" i="9" s="1"/>
  <c r="DH52" i="9" s="1"/>
  <c r="AL44" i="9"/>
  <c r="AL67" i="9" s="1"/>
  <c r="DG52" i="9" s="1"/>
  <c r="AK44" i="9"/>
  <c r="AK67" i="9" s="1"/>
  <c r="DF52" i="9" s="1"/>
  <c r="AM41" i="9"/>
  <c r="AM64" i="9" s="1"/>
  <c r="AL41" i="9"/>
  <c r="AL64" i="9" s="1"/>
  <c r="AK41" i="9"/>
  <c r="AK64" i="9" s="1"/>
  <c r="AM28" i="9"/>
  <c r="AM51" i="9" s="1"/>
  <c r="DH36" i="9" s="1"/>
  <c r="AL28" i="9"/>
  <c r="AL51" i="9" s="1"/>
  <c r="AK28" i="9"/>
  <c r="AK51" i="9" s="1"/>
  <c r="DF36" i="9" s="1"/>
  <c r="AM40" i="9"/>
  <c r="AM63" i="9" s="1"/>
  <c r="AL40" i="9"/>
  <c r="AL63" i="9" s="1"/>
  <c r="AK40" i="9"/>
  <c r="AK63" i="9" s="1"/>
  <c r="AM37" i="9"/>
  <c r="AM60" i="9" s="1"/>
  <c r="AL37" i="9"/>
  <c r="AL60" i="9" s="1"/>
  <c r="AK37" i="9"/>
  <c r="AK60" i="9" s="1"/>
  <c r="AY30" i="16"/>
  <c r="BC26" i="16"/>
  <c r="BC27" i="16" s="1"/>
  <c r="AM36" i="9"/>
  <c r="AM59" i="9" s="1"/>
  <c r="AL36" i="9"/>
  <c r="AL59" i="9" s="1"/>
  <c r="AK36" i="9"/>
  <c r="AK59" i="9" s="1"/>
  <c r="AM33" i="9"/>
  <c r="AM56" i="9" s="1"/>
  <c r="AL33" i="9"/>
  <c r="AL56" i="9" s="1"/>
  <c r="AK33" i="9"/>
  <c r="AK56" i="9" s="1"/>
  <c r="AM42" i="9"/>
  <c r="AM65" i="9" s="1"/>
  <c r="AL42" i="9"/>
  <c r="AL65" i="9" s="1"/>
  <c r="AK42" i="9"/>
  <c r="AK65" i="9" s="1"/>
  <c r="AM35" i="9"/>
  <c r="AM58" i="9" s="1"/>
  <c r="AL35" i="9"/>
  <c r="AL58" i="9" s="1"/>
  <c r="AK35" i="9"/>
  <c r="AK58" i="9" s="1"/>
  <c r="AM39" i="9"/>
  <c r="AM62" i="9" s="1"/>
  <c r="AL39" i="9"/>
  <c r="AL62" i="9" s="1"/>
  <c r="AK39" i="9"/>
  <c r="AK62" i="9" s="1"/>
  <c r="AM34" i="9"/>
  <c r="AM57" i="9" s="1"/>
  <c r="AL34" i="9"/>
  <c r="AL57" i="9" s="1"/>
  <c r="AK34" i="9"/>
  <c r="AK57" i="9" s="1"/>
  <c r="AM45" i="9"/>
  <c r="AM68" i="9" s="1"/>
  <c r="DH53" i="9" s="1"/>
  <c r="AL45" i="9"/>
  <c r="AL68" i="9" s="1"/>
  <c r="DG53" i="9" s="1"/>
  <c r="AK45" i="9"/>
  <c r="AK68" i="9" s="1"/>
  <c r="DF53" i="9" s="1"/>
  <c r="AM32" i="9"/>
  <c r="AM55" i="9" s="1"/>
  <c r="AM75" i="9" s="1"/>
  <c r="AL32" i="9"/>
  <c r="AL55" i="9" s="1"/>
  <c r="AK32" i="9"/>
  <c r="AK55" i="9" s="1"/>
  <c r="AK75" i="9" s="1"/>
  <c r="AM29" i="9"/>
  <c r="AM52" i="9" s="1"/>
  <c r="DH37" i="9" s="1"/>
  <c r="AL29" i="9"/>
  <c r="AL52" i="9" s="1"/>
  <c r="DG37" i="9" s="1"/>
  <c r="AK29" i="9"/>
  <c r="AK52" i="9" s="1"/>
  <c r="DF37" i="9" s="1"/>
  <c r="DH44" i="9" l="1"/>
  <c r="AM97" i="9"/>
  <c r="DG43" i="9"/>
  <c r="AL78" i="9"/>
  <c r="DH49" i="9"/>
  <c r="AM119" i="9"/>
  <c r="DF51" i="9"/>
  <c r="AK121" i="9"/>
  <c r="DG40" i="9"/>
  <c r="AL75" i="9"/>
  <c r="DG45" i="9"/>
  <c r="AL98" i="9"/>
  <c r="DG50" i="9"/>
  <c r="AL120" i="9"/>
  <c r="DF48" i="9"/>
  <c r="AK118" i="9"/>
  <c r="DF41" i="9"/>
  <c r="AK76" i="9"/>
  <c r="DG51" i="9"/>
  <c r="AL121" i="9"/>
  <c r="DF43" i="9"/>
  <c r="AK78" i="9"/>
  <c r="DH43" i="9"/>
  <c r="AM78" i="9"/>
  <c r="DF50" i="9"/>
  <c r="AK120" i="9"/>
  <c r="DH45" i="9"/>
  <c r="AM98" i="9"/>
  <c r="DG41" i="9"/>
  <c r="AL76" i="9"/>
  <c r="DH51" i="9"/>
  <c r="AM121" i="9"/>
  <c r="DH47" i="9"/>
  <c r="AM100" i="9"/>
  <c r="DG49" i="9"/>
  <c r="AL119" i="9"/>
  <c r="DF42" i="9"/>
  <c r="AK77" i="9"/>
  <c r="DG42" i="9"/>
  <c r="AL77" i="9"/>
  <c r="DH48" i="9"/>
  <c r="AM118" i="9"/>
  <c r="DH42" i="9"/>
  <c r="AM77" i="9"/>
  <c r="DH41" i="9"/>
  <c r="AM76" i="9"/>
  <c r="DF46" i="9"/>
  <c r="AK99" i="9"/>
  <c r="DF45" i="9"/>
  <c r="AK98" i="9"/>
  <c r="DF44" i="9"/>
  <c r="AK97" i="9"/>
  <c r="DG46" i="9"/>
  <c r="AL99" i="9"/>
  <c r="DF49" i="9"/>
  <c r="AK119" i="9"/>
  <c r="DH50" i="9"/>
  <c r="AM120" i="9"/>
  <c r="DG48" i="9"/>
  <c r="AL118" i="9"/>
  <c r="DF47" i="9"/>
  <c r="AK100" i="9"/>
  <c r="DG47" i="9"/>
  <c r="AL100" i="9"/>
  <c r="DG44" i="9"/>
  <c r="AL97" i="9"/>
  <c r="DH46" i="9"/>
  <c r="AM99" i="9"/>
  <c r="AK69" i="9"/>
  <c r="DF54" i="9" s="1"/>
  <c r="DF40" i="9"/>
  <c r="AM69" i="9"/>
  <c r="DH54" i="9" s="1"/>
  <c r="DH40" i="9"/>
  <c r="DG36" i="9"/>
  <c r="AL69" i="9"/>
  <c r="DG54" i="9" s="1"/>
  <c r="AV39" i="16" l="1"/>
  <c r="AV77" i="16" s="1"/>
  <c r="AV37" i="16"/>
  <c r="AV57" i="16" s="1"/>
  <c r="AV43" i="16"/>
  <c r="AV98" i="16" s="1"/>
  <c r="AV41" i="16"/>
  <c r="AV79" i="16" s="1"/>
  <c r="AV38" i="16"/>
  <c r="AV76" i="16" s="1"/>
  <c r="AV35" i="16"/>
  <c r="AV55" i="16" s="1"/>
  <c r="AV40" i="16"/>
  <c r="AV78" i="16" s="1"/>
  <c r="AV33" i="16"/>
  <c r="AV45" i="16"/>
  <c r="AV100" i="16" s="1"/>
  <c r="AV44" i="16"/>
  <c r="AV99" i="16" s="1"/>
  <c r="AV34" i="16"/>
  <c r="AV54" i="16" s="1"/>
  <c r="AV47" i="16"/>
  <c r="AV129" i="16" s="1"/>
  <c r="AV36" i="16"/>
  <c r="AV56" i="16" s="1"/>
  <c r="AV46" i="16"/>
  <c r="AV128" i="16" s="1"/>
  <c r="AV42" i="16"/>
  <c r="AV97" i="16" s="1"/>
  <c r="AV31" i="16" l="1"/>
  <c r="AV32" i="16"/>
  <c r="AZ26" i="16" l="1"/>
  <c r="AZ27" i="16" s="1"/>
  <c r="AV30" i="16"/>
  <c r="AU36" i="16" l="1"/>
  <c r="AU56" i="16" s="1"/>
  <c r="AU46" i="16"/>
  <c r="AU128" i="16" s="1"/>
  <c r="AU44" i="16"/>
  <c r="AU99" i="16" s="1"/>
  <c r="AU40" i="16"/>
  <c r="AU78" i="16" s="1"/>
  <c r="AU42" i="16" l="1"/>
  <c r="AU97" i="16" s="1"/>
  <c r="AU32" i="16"/>
  <c r="AQ40" i="16"/>
  <c r="AQ78" i="16" s="1"/>
  <c r="AU37" i="16"/>
  <c r="AU57" i="16" s="1"/>
  <c r="AB39" i="16"/>
  <c r="AB77" i="16" s="1"/>
  <c r="AJ39" i="16"/>
  <c r="AJ77" i="16" s="1"/>
  <c r="Y36" i="16"/>
  <c r="Y56" i="16" s="1"/>
  <c r="AO47" i="16"/>
  <c r="AO129" i="16" s="1"/>
  <c r="AD39" i="16"/>
  <c r="AD77" i="16" s="1"/>
  <c r="AE36" i="16"/>
  <c r="AE56" i="16" s="1"/>
  <c r="AP36" i="16"/>
  <c r="AP56" i="16" s="1"/>
  <c r="AK45" i="16"/>
  <c r="AK100" i="16" s="1"/>
  <c r="AK39" i="16"/>
  <c r="AK77" i="16" s="1"/>
  <c r="AL45" i="16"/>
  <c r="AL100" i="16" s="1"/>
  <c r="Y34" i="16"/>
  <c r="Y54" i="16" s="1"/>
  <c r="AG38" i="16"/>
  <c r="AG76" i="16" s="1"/>
  <c r="Z18" i="16"/>
  <c r="AE39" i="16"/>
  <c r="AE77" i="16" s="1"/>
  <c r="AP42" i="16"/>
  <c r="AP97" i="16" s="1"/>
  <c r="AJ37" i="16"/>
  <c r="AJ57" i="16" s="1"/>
  <c r="AJ33" i="16"/>
  <c r="AP34" i="16"/>
  <c r="AP54" i="16" s="1"/>
  <c r="AP44" i="16"/>
  <c r="AP99" i="16" s="1"/>
  <c r="AU38" i="16"/>
  <c r="AU76" i="16" s="1"/>
  <c r="AU39" i="16"/>
  <c r="AU77" i="16" s="1"/>
  <c r="AU35" i="16"/>
  <c r="AU55" i="16" s="1"/>
  <c r="Z38" i="16"/>
  <c r="Z76" i="16" s="1"/>
  <c r="AC37" i="16"/>
  <c r="AC57" i="16" s="1"/>
  <c r="AE37" i="16"/>
  <c r="AE57" i="16" s="1"/>
  <c r="Z12" i="16"/>
  <c r="AF38" i="16"/>
  <c r="AF76" i="16" s="1"/>
  <c r="AK46" i="16"/>
  <c r="AK128" i="16" s="1"/>
  <c r="AD37" i="16"/>
  <c r="AD57" i="16" s="1"/>
  <c r="AK41" i="16"/>
  <c r="AK79" i="16" s="1"/>
  <c r="AB37" i="16"/>
  <c r="AB57" i="16" s="1"/>
  <c r="AP33" i="16"/>
  <c r="AQ39" i="16"/>
  <c r="AQ77" i="16" s="1"/>
  <c r="AU43" i="16"/>
  <c r="AU98" i="16" s="1"/>
  <c r="AA34" i="16"/>
  <c r="AA54" i="16" s="1"/>
  <c r="AD34" i="16"/>
  <c r="AD54" i="16" s="1"/>
  <c r="AL42" i="16"/>
  <c r="AL97" i="16" s="1"/>
  <c r="AC39" i="16"/>
  <c r="AC77" i="16" s="1"/>
  <c r="AJ38" i="16"/>
  <c r="AJ76" i="16" s="1"/>
  <c r="AF40" i="16"/>
  <c r="AF78" i="16" s="1"/>
  <c r="AP47" i="16"/>
  <c r="AP129" i="16" s="1"/>
  <c r="AU34" i="16"/>
  <c r="AU54" i="16" s="1"/>
  <c r="AS34" i="16"/>
  <c r="AS54" i="16" s="1"/>
  <c r="AU47" i="16"/>
  <c r="AU129" i="16" s="1"/>
  <c r="Z15" i="16"/>
  <c r="AA38" i="16"/>
  <c r="AA76" i="16" s="1"/>
  <c r="AB40" i="16"/>
  <c r="AB78" i="16" s="1"/>
  <c r="AD38" i="16"/>
  <c r="AD76" i="16" s="1"/>
  <c r="AG39" i="16"/>
  <c r="AG77" i="16" s="1"/>
  <c r="AK33" i="16"/>
  <c r="AO41" i="16"/>
  <c r="AO79" i="16" s="1"/>
  <c r="AO40" i="16"/>
  <c r="AO78" i="16" s="1"/>
  <c r="AL35" i="16"/>
  <c r="AL55" i="16" s="1"/>
  <c r="AQ43" i="16"/>
  <c r="AQ98" i="16" s="1"/>
  <c r="AA36" i="16"/>
  <c r="AA56" i="16" s="1"/>
  <c r="Y39" i="16"/>
  <c r="Y77" i="16" s="1"/>
  <c r="AG40" i="16"/>
  <c r="AG78" i="16" s="1"/>
  <c r="Z37" i="16"/>
  <c r="Z57" i="16" s="1"/>
  <c r="AL37" i="16"/>
  <c r="AL57" i="16" s="1"/>
  <c r="AK34" i="16"/>
  <c r="AK54" i="16" s="1"/>
  <c r="AK35" i="16"/>
  <c r="AK55" i="16" s="1"/>
  <c r="AJ43" i="16"/>
  <c r="AJ98" i="16" s="1"/>
  <c r="AL44" i="16"/>
  <c r="AL99" i="16" s="1"/>
  <c r="AU31" i="16"/>
  <c r="AR33" i="16"/>
  <c r="Z16" i="16"/>
  <c r="AA40" i="16"/>
  <c r="AA78" i="16" s="1"/>
  <c r="Z34" i="16"/>
  <c r="Z54" i="16" s="1"/>
  <c r="AP35" i="16"/>
  <c r="AP55" i="16" s="1"/>
  <c r="AD40" i="16"/>
  <c r="AD78" i="16" s="1"/>
  <c r="AK43" i="16"/>
  <c r="AK98" i="16" s="1"/>
  <c r="AO45" i="16"/>
  <c r="AO100" i="16" s="1"/>
  <c r="AP37" i="16"/>
  <c r="AP57" i="16" s="1"/>
  <c r="AL36" i="16"/>
  <c r="AL56" i="16" s="1"/>
  <c r="Y40" i="16"/>
  <c r="Y78" i="16" s="1"/>
  <c r="AQ35" i="16"/>
  <c r="AQ55" i="16" s="1"/>
  <c r="AK42" i="16"/>
  <c r="AK97" i="16" s="1"/>
  <c r="AO42" i="16"/>
  <c r="AO97" i="16" s="1"/>
  <c r="AE40" i="16"/>
  <c r="AE78" i="16" s="1"/>
  <c r="AJ44" i="16"/>
  <c r="AJ99" i="16" s="1"/>
  <c r="AJ45" i="16"/>
  <c r="AJ100" i="16" s="1"/>
  <c r="AJ47" i="16"/>
  <c r="AJ129" i="16" s="1"/>
  <c r="AU33" i="16"/>
  <c r="Y38" i="16"/>
  <c r="Y76" i="16" s="1"/>
  <c r="AF37" i="16"/>
  <c r="AF57" i="16" s="1"/>
  <c r="AU45" i="16"/>
  <c r="AU100" i="16" s="1"/>
  <c r="AJ35" i="16"/>
  <c r="AJ55" i="16" s="1"/>
  <c r="AK37" i="16"/>
  <c r="AK57" i="16" s="1"/>
  <c r="AJ41" i="16"/>
  <c r="AJ79" i="16" s="1"/>
  <c r="AO44" i="16"/>
  <c r="AO99" i="16" s="1"/>
  <c r="AL34" i="16"/>
  <c r="AL54" i="16" s="1"/>
  <c r="AK47" i="16"/>
  <c r="AK129" i="16" s="1"/>
  <c r="AG36" i="16"/>
  <c r="AG56" i="16" s="1"/>
  <c r="AP45" i="16"/>
  <c r="AP100" i="16" s="1"/>
  <c r="AS38" i="16"/>
  <c r="AS76" i="16" s="1"/>
  <c r="Z39" i="16"/>
  <c r="Z77" i="16" s="1"/>
  <c r="Z14" i="16"/>
  <c r="AD36" i="16"/>
  <c r="AD56" i="16" s="1"/>
  <c r="Z17" i="16"/>
  <c r="AA39" i="16"/>
  <c r="AA77" i="16" s="1"/>
  <c r="AJ40" i="16"/>
  <c r="AJ78" i="16" s="1"/>
  <c r="AO35" i="16"/>
  <c r="AO55" i="16" s="1"/>
  <c r="Y37" i="16"/>
  <c r="Y57" i="16" s="1"/>
  <c r="AG34" i="16"/>
  <c r="AG54" i="16" s="1"/>
  <c r="AE34" i="16"/>
  <c r="AE54" i="16" s="1"/>
  <c r="AJ46" i="16"/>
  <c r="AJ128" i="16" s="1"/>
  <c r="AK40" i="16"/>
  <c r="AK78" i="16" s="1"/>
  <c r="AU41" i="16"/>
  <c r="AU79" i="16" s="1"/>
  <c r="Z40" i="16"/>
  <c r="Z78" i="16" s="1"/>
  <c r="AB36" i="16"/>
  <c r="AB56" i="16" s="1"/>
  <c r="AF39" i="16"/>
  <c r="AF77" i="16" s="1"/>
  <c r="AJ36" i="16"/>
  <c r="AJ56" i="16" s="1"/>
  <c r="AA37" i="16"/>
  <c r="AA57" i="16" s="1"/>
  <c r="AF36" i="16"/>
  <c r="AF56" i="16" s="1"/>
  <c r="AJ34" i="16"/>
  <c r="AJ54" i="16" s="1"/>
  <c r="AK36" i="16"/>
  <c r="AK56" i="16" s="1"/>
  <c r="AC38" i="16"/>
  <c r="AC76" i="16" s="1"/>
  <c r="AB38" i="16"/>
  <c r="AB76" i="16" s="1"/>
  <c r="AQ45" i="16"/>
  <c r="AQ100" i="16" s="1"/>
  <c r="Z36" i="16"/>
  <c r="Z56" i="16" s="1"/>
  <c r="AE38" i="16"/>
  <c r="AE76" i="16" s="1"/>
  <c r="AG37" i="16"/>
  <c r="AG57" i="16" s="1"/>
  <c r="AF34" i="16"/>
  <c r="AF54" i="16" s="1"/>
  <c r="AC40" i="16"/>
  <c r="AC78" i="16" s="1"/>
  <c r="AK38" i="16"/>
  <c r="AK76" i="16" s="1"/>
  <c r="AL46" i="16"/>
  <c r="AL128" i="16" s="1"/>
  <c r="AB34" i="16"/>
  <c r="AB54" i="16" s="1"/>
  <c r="AJ42" i="16"/>
  <c r="AJ97" i="16" s="1"/>
  <c r="AC36" i="16"/>
  <c r="AC56" i="16" s="1"/>
  <c r="AP46" i="16"/>
  <c r="AP128" i="16" s="1"/>
  <c r="AK44" i="16"/>
  <c r="AK99" i="16" s="1"/>
  <c r="AC34" i="16"/>
  <c r="AC54" i="16" s="1"/>
  <c r="AR36" i="16" l="1"/>
  <c r="AR56" i="16" s="1"/>
  <c r="AS32" i="16"/>
  <c r="AS41" i="16"/>
  <c r="AS79" i="16" s="1"/>
  <c r="AS42" i="16"/>
  <c r="AS97" i="16" s="1"/>
  <c r="AR37" i="16"/>
  <c r="AR57" i="16" s="1"/>
  <c r="AR38" i="16"/>
  <c r="AR76" i="16" s="1"/>
  <c r="AM40" i="16"/>
  <c r="AM78" i="16" s="1"/>
  <c r="AQ46" i="16"/>
  <c r="AQ128" i="16" s="1"/>
  <c r="AO46" i="16"/>
  <c r="AO128" i="16" s="1"/>
  <c r="AO38" i="16"/>
  <c r="AO76" i="16" s="1"/>
  <c r="AI38" i="16"/>
  <c r="AI76" i="16" s="1"/>
  <c r="Y32" i="16"/>
  <c r="AD30" i="16"/>
  <c r="L38" i="16"/>
  <c r="L76" i="16" s="1"/>
  <c r="P38" i="16"/>
  <c r="P76" i="16" s="1"/>
  <c r="I38" i="16"/>
  <c r="I76" i="16" s="1"/>
  <c r="T38" i="16"/>
  <c r="T76" i="16" s="1"/>
  <c r="M38" i="16"/>
  <c r="M76" i="16" s="1"/>
  <c r="N38" i="16"/>
  <c r="N76" i="16" s="1"/>
  <c r="J38" i="16"/>
  <c r="J76" i="16" s="1"/>
  <c r="R38" i="16"/>
  <c r="R76" i="16" s="1"/>
  <c r="G38" i="16"/>
  <c r="G76" i="16" s="1"/>
  <c r="X38" i="16"/>
  <c r="X76" i="16" s="1"/>
  <c r="W38" i="16"/>
  <c r="W76" i="16" s="1"/>
  <c r="Q38" i="16"/>
  <c r="Q76" i="16" s="1"/>
  <c r="U38" i="16"/>
  <c r="U76" i="16" s="1"/>
  <c r="V38" i="16"/>
  <c r="V76" i="16" s="1"/>
  <c r="O38" i="16"/>
  <c r="O76" i="16" s="1"/>
  <c r="S38" i="16"/>
  <c r="S76" i="16" s="1"/>
  <c r="K38" i="16"/>
  <c r="K76" i="16" s="1"/>
  <c r="H38" i="16"/>
  <c r="H76" i="16" s="1"/>
  <c r="W40" i="16"/>
  <c r="W78" i="16" s="1"/>
  <c r="G40" i="16"/>
  <c r="G78" i="16" s="1"/>
  <c r="S40" i="16"/>
  <c r="S78" i="16" s="1"/>
  <c r="N40" i="16"/>
  <c r="N78" i="16" s="1"/>
  <c r="V40" i="16"/>
  <c r="V78" i="16" s="1"/>
  <c r="R40" i="16"/>
  <c r="R78" i="16" s="1"/>
  <c r="X40" i="16"/>
  <c r="X78" i="16" s="1"/>
  <c r="K40" i="16"/>
  <c r="K78" i="16" s="1"/>
  <c r="H40" i="16"/>
  <c r="H78" i="16" s="1"/>
  <c r="L40" i="16"/>
  <c r="L78" i="16" s="1"/>
  <c r="P40" i="16"/>
  <c r="P78" i="16" s="1"/>
  <c r="T40" i="16"/>
  <c r="T78" i="16" s="1"/>
  <c r="I40" i="16"/>
  <c r="I78" i="16" s="1"/>
  <c r="Q40" i="16"/>
  <c r="Q78" i="16" s="1"/>
  <c r="M40" i="16"/>
  <c r="M78" i="16" s="1"/>
  <c r="U40" i="16"/>
  <c r="U78" i="16" s="1"/>
  <c r="J40" i="16"/>
  <c r="J78" i="16" s="1"/>
  <c r="O40" i="16"/>
  <c r="O78" i="16" s="1"/>
  <c r="AM33" i="16"/>
  <c r="AM36" i="16"/>
  <c r="AM56" i="16" s="1"/>
  <c r="AM41" i="16"/>
  <c r="AM79" i="16" s="1"/>
  <c r="AI37" i="16"/>
  <c r="AI57" i="16" s="1"/>
  <c r="AF31" i="16"/>
  <c r="AL33" i="16"/>
  <c r="AO36" i="16"/>
  <c r="AO56" i="16" s="1"/>
  <c r="AK31" i="16"/>
  <c r="AI33" i="16"/>
  <c r="AI46" i="16"/>
  <c r="AI128" i="16" s="1"/>
  <c r="AI35" i="16"/>
  <c r="AI55" i="16" s="1"/>
  <c r="Z32" i="16"/>
  <c r="AI47" i="16"/>
  <c r="AI129" i="16" s="1"/>
  <c r="V36" i="16"/>
  <c r="V56" i="16" s="1"/>
  <c r="J36" i="16"/>
  <c r="J56" i="16" s="1"/>
  <c r="O36" i="16"/>
  <c r="O56" i="16" s="1"/>
  <c r="G36" i="16"/>
  <c r="G56" i="16" s="1"/>
  <c r="S36" i="16"/>
  <c r="S56" i="16" s="1"/>
  <c r="N36" i="16"/>
  <c r="N56" i="16" s="1"/>
  <c r="R36" i="16"/>
  <c r="R56" i="16" s="1"/>
  <c r="X36" i="16"/>
  <c r="X56" i="16" s="1"/>
  <c r="K36" i="16"/>
  <c r="K56" i="16" s="1"/>
  <c r="W36" i="16"/>
  <c r="W56" i="16" s="1"/>
  <c r="H36" i="16"/>
  <c r="H56" i="16" s="1"/>
  <c r="L36" i="16"/>
  <c r="L56" i="16" s="1"/>
  <c r="P36" i="16"/>
  <c r="P56" i="16" s="1"/>
  <c r="T36" i="16"/>
  <c r="T56" i="16" s="1"/>
  <c r="I36" i="16"/>
  <c r="I56" i="16" s="1"/>
  <c r="Q36" i="16"/>
  <c r="Q56" i="16" s="1"/>
  <c r="M36" i="16"/>
  <c r="M56" i="16" s="1"/>
  <c r="U36" i="16"/>
  <c r="U56" i="16" s="1"/>
  <c r="AZ35" i="16"/>
  <c r="AZ55" i="16" s="1"/>
  <c r="AT35" i="16"/>
  <c r="AT55" i="16" s="1"/>
  <c r="AH38" i="16"/>
  <c r="AH76" i="16" s="1"/>
  <c r="AS39" i="16"/>
  <c r="AS77" i="16" s="1"/>
  <c r="AN44" i="16"/>
  <c r="AN99" i="16" s="1"/>
  <c r="AS36" i="16"/>
  <c r="AS56" i="16" s="1"/>
  <c r="AN47" i="16"/>
  <c r="AN129" i="16" s="1"/>
  <c r="AR34" i="16"/>
  <c r="AR54" i="16" s="1"/>
  <c r="AQ41" i="16"/>
  <c r="AQ79" i="16" s="1"/>
  <c r="AQ34" i="16"/>
  <c r="AQ54" i="16" s="1"/>
  <c r="AL39" i="16"/>
  <c r="AL77" i="16" s="1"/>
  <c r="Z31" i="16"/>
  <c r="AI31" i="16"/>
  <c r="AI43" i="16"/>
  <c r="AI98" i="16" s="1"/>
  <c r="AQ33" i="16"/>
  <c r="AC31" i="9"/>
  <c r="AC54" i="9" s="1"/>
  <c r="CX39" i="9" s="1"/>
  <c r="AP41" i="16"/>
  <c r="AP79" i="16" s="1"/>
  <c r="AP32" i="16"/>
  <c r="AI41" i="16"/>
  <c r="AI79" i="16" s="1"/>
  <c r="AL43" i="16"/>
  <c r="AL98" i="16" s="1"/>
  <c r="AJ31" i="16"/>
  <c r="AR35" i="16"/>
  <c r="AR55" i="16" s="1"/>
  <c r="AH42" i="9"/>
  <c r="AH65" i="9" s="1"/>
  <c r="AI42" i="9"/>
  <c r="AI65" i="9" s="1"/>
  <c r="AG42" i="9"/>
  <c r="AG65" i="9" s="1"/>
  <c r="AH29" i="9"/>
  <c r="AH52" i="9" s="1"/>
  <c r="DC37" i="9" s="1"/>
  <c r="AI29" i="9"/>
  <c r="AI52" i="9" s="1"/>
  <c r="DD37" i="9" s="1"/>
  <c r="AG29" i="9"/>
  <c r="AG52" i="9" s="1"/>
  <c r="DB37" i="9" s="1"/>
  <c r="AH37" i="16"/>
  <c r="AH57" i="16" s="1"/>
  <c r="AH39" i="16"/>
  <c r="AH77" i="16" s="1"/>
  <c r="AH34" i="16"/>
  <c r="AH54" i="16" s="1"/>
  <c r="AS37" i="16"/>
  <c r="AS57" i="16" s="1"/>
  <c r="AN40" i="16"/>
  <c r="AN78" i="16" s="1"/>
  <c r="AS33" i="16"/>
  <c r="AN39" i="16"/>
  <c r="AN77" i="16" s="1"/>
  <c r="AN46" i="16"/>
  <c r="AN128" i="16" s="1"/>
  <c r="AS40" i="16"/>
  <c r="AS78" i="16" s="1"/>
  <c r="AQ38" i="16"/>
  <c r="AQ76" i="16" s="1"/>
  <c r="AQ36" i="16"/>
  <c r="AQ56" i="16" s="1"/>
  <c r="AM44" i="16"/>
  <c r="AM99" i="16" s="1"/>
  <c r="AQ32" i="16"/>
  <c r="AI34" i="16"/>
  <c r="AI54" i="16" s="1"/>
  <c r="AI39" i="16"/>
  <c r="AI77" i="16" s="1"/>
  <c r="AR45" i="16"/>
  <c r="AR100" i="16" s="1"/>
  <c r="AH40" i="16"/>
  <c r="AH78" i="16" s="1"/>
  <c r="S37" i="16"/>
  <c r="S57" i="16" s="1"/>
  <c r="G37" i="16"/>
  <c r="G57" i="16" s="1"/>
  <c r="O37" i="16"/>
  <c r="O57" i="16" s="1"/>
  <c r="T37" i="16"/>
  <c r="T57" i="16" s="1"/>
  <c r="P37" i="16"/>
  <c r="P57" i="16" s="1"/>
  <c r="U37" i="16"/>
  <c r="U57" i="16" s="1"/>
  <c r="Q37" i="16"/>
  <c r="Q57" i="16" s="1"/>
  <c r="K37" i="16"/>
  <c r="K57" i="16" s="1"/>
  <c r="H37" i="16"/>
  <c r="H57" i="16" s="1"/>
  <c r="V37" i="16"/>
  <c r="V57" i="16" s="1"/>
  <c r="L37" i="16"/>
  <c r="L57" i="16" s="1"/>
  <c r="X37" i="16"/>
  <c r="X57" i="16" s="1"/>
  <c r="I37" i="16"/>
  <c r="I57" i="16" s="1"/>
  <c r="R37" i="16"/>
  <c r="R57" i="16" s="1"/>
  <c r="M37" i="16"/>
  <c r="M57" i="16" s="1"/>
  <c r="N37" i="16"/>
  <c r="N57" i="16" s="1"/>
  <c r="J37" i="16"/>
  <c r="J57" i="16" s="1"/>
  <c r="W37" i="16"/>
  <c r="W57" i="16" s="1"/>
  <c r="AZ36" i="16"/>
  <c r="AZ56" i="16" s="1"/>
  <c r="AT36" i="16"/>
  <c r="AT56" i="16" s="1"/>
  <c r="AN41" i="16"/>
  <c r="AN79" i="16" s="1"/>
  <c r="AQ44" i="16"/>
  <c r="AQ99" i="16" s="1"/>
  <c r="AO43" i="16"/>
  <c r="AO98" i="16" s="1"/>
  <c r="AO34" i="16"/>
  <c r="AO54" i="16" s="1"/>
  <c r="AL32" i="16"/>
  <c r="AL47" i="16"/>
  <c r="AL129" i="16" s="1"/>
  <c r="AI42" i="16"/>
  <c r="AI97" i="16" s="1"/>
  <c r="AI34" i="9"/>
  <c r="AI57" i="9" s="1"/>
  <c r="AH34" i="9"/>
  <c r="AH57" i="9" s="1"/>
  <c r="AG34" i="9"/>
  <c r="AG57" i="9" s="1"/>
  <c r="AH28" i="9"/>
  <c r="AH51" i="9" s="1"/>
  <c r="AI28" i="9"/>
  <c r="AI51" i="9" s="1"/>
  <c r="AG28" i="9"/>
  <c r="AG51" i="9" s="1"/>
  <c r="AR46" i="16"/>
  <c r="AR128" i="16" s="1"/>
  <c r="AN43" i="16"/>
  <c r="AN98" i="16" s="1"/>
  <c r="AS44" i="16"/>
  <c r="AS99" i="16" s="1"/>
  <c r="AR47" i="16"/>
  <c r="AR129" i="16" s="1"/>
  <c r="AR44" i="16"/>
  <c r="AR99" i="16" s="1"/>
  <c r="AN38" i="16"/>
  <c r="AN76" i="16" s="1"/>
  <c r="AN37" i="16"/>
  <c r="AN57" i="16" s="1"/>
  <c r="AM35" i="16"/>
  <c r="AM55" i="16" s="1"/>
  <c r="AQ42" i="16"/>
  <c r="AQ97" i="16" s="1"/>
  <c r="AK32" i="16"/>
  <c r="AH31" i="9"/>
  <c r="AH54" i="9" s="1"/>
  <c r="DC39" i="9" s="1"/>
  <c r="AI31" i="9"/>
  <c r="AI54" i="9" s="1"/>
  <c r="DD39" i="9" s="1"/>
  <c r="AG31" i="9"/>
  <c r="AG54" i="9" s="1"/>
  <c r="DB39" i="9" s="1"/>
  <c r="W34" i="16"/>
  <c r="W54" i="16" s="1"/>
  <c r="M34" i="16"/>
  <c r="M54" i="16" s="1"/>
  <c r="V34" i="16"/>
  <c r="V54" i="16" s="1"/>
  <c r="J34" i="16"/>
  <c r="J54" i="16" s="1"/>
  <c r="S34" i="16"/>
  <c r="S54" i="16" s="1"/>
  <c r="G34" i="16"/>
  <c r="G54" i="16" s="1"/>
  <c r="O34" i="16"/>
  <c r="O54" i="16" s="1"/>
  <c r="K34" i="16"/>
  <c r="K54" i="16" s="1"/>
  <c r="T34" i="16"/>
  <c r="T54" i="16" s="1"/>
  <c r="H34" i="16"/>
  <c r="H54" i="16" s="1"/>
  <c r="P34" i="16"/>
  <c r="P54" i="16" s="1"/>
  <c r="L34" i="16"/>
  <c r="L54" i="16" s="1"/>
  <c r="U34" i="16"/>
  <c r="U54" i="16" s="1"/>
  <c r="Q34" i="16"/>
  <c r="Q54" i="16" s="1"/>
  <c r="X34" i="16"/>
  <c r="X54" i="16" s="1"/>
  <c r="R34" i="16"/>
  <c r="R54" i="16" s="1"/>
  <c r="N34" i="16"/>
  <c r="N54" i="16" s="1"/>
  <c r="I34" i="16"/>
  <c r="I54" i="16" s="1"/>
  <c r="AM37" i="16"/>
  <c r="AM57" i="16" s="1"/>
  <c r="AM46" i="16"/>
  <c r="AM128" i="16" s="1"/>
  <c r="AI36" i="16"/>
  <c r="AI56" i="16" s="1"/>
  <c r="AL40" i="16"/>
  <c r="AL78" i="16" s="1"/>
  <c r="AH44" i="9"/>
  <c r="AH67" i="9" s="1"/>
  <c r="AI44" i="9"/>
  <c r="AI67" i="9" s="1"/>
  <c r="AG44" i="9"/>
  <c r="AG67" i="9" s="1"/>
  <c r="K32" i="9"/>
  <c r="K55" i="9" s="1"/>
  <c r="K35" i="9"/>
  <c r="K58" i="9" s="1"/>
  <c r="AU30" i="16"/>
  <c r="AY26" i="16"/>
  <c r="AY27" i="16" s="1"/>
  <c r="AR43" i="16"/>
  <c r="AR98" i="16" s="1"/>
  <c r="AN33" i="16"/>
  <c r="Y31" i="9"/>
  <c r="Y54" i="9" s="1"/>
  <c r="CT39" i="9" s="1"/>
  <c r="AN45" i="16"/>
  <c r="AN100" i="16" s="1"/>
  <c r="AN35" i="16"/>
  <c r="AN55" i="16" s="1"/>
  <c r="AN36" i="16"/>
  <c r="AN56" i="16" s="1"/>
  <c r="AR41" i="16"/>
  <c r="AR79" i="16" s="1"/>
  <c r="AR42" i="16"/>
  <c r="AR97" i="16" s="1"/>
  <c r="AS46" i="16"/>
  <c r="AS128" i="16" s="1"/>
  <c r="AM45" i="16"/>
  <c r="AM100" i="16" s="1"/>
  <c r="AM42" i="16"/>
  <c r="AM97" i="16" s="1"/>
  <c r="AJ32" i="16"/>
  <c r="AO37" i="16"/>
  <c r="AO57" i="16" s="1"/>
  <c r="AP39" i="16"/>
  <c r="AP77" i="16" s="1"/>
  <c r="AI40" i="16"/>
  <c r="AI78" i="16" s="1"/>
  <c r="AE32" i="16"/>
  <c r="AI32" i="16"/>
  <c r="N36" i="9"/>
  <c r="N59" i="9" s="1"/>
  <c r="AI38" i="9"/>
  <c r="AI61" i="9" s="1"/>
  <c r="AH38" i="9"/>
  <c r="AH61" i="9" s="1"/>
  <c r="AG38" i="9"/>
  <c r="AG61" i="9" s="1"/>
  <c r="AI30" i="9"/>
  <c r="AI53" i="9" s="1"/>
  <c r="DD38" i="9" s="1"/>
  <c r="AH30" i="9"/>
  <c r="AH53" i="9" s="1"/>
  <c r="DC38" i="9" s="1"/>
  <c r="AG30" i="9"/>
  <c r="AG53" i="9" s="1"/>
  <c r="DB38" i="9" s="1"/>
  <c r="AM34" i="16"/>
  <c r="AM54" i="16" s="1"/>
  <c r="AP43" i="16"/>
  <c r="AP98" i="16" s="1"/>
  <c r="AP31" i="16"/>
  <c r="AO39" i="16"/>
  <c r="AO77" i="16" s="1"/>
  <c r="AP40" i="16"/>
  <c r="AP78" i="16" s="1"/>
  <c r="AL41" i="16"/>
  <c r="AL79" i="16" s="1"/>
  <c r="AQ37" i="16"/>
  <c r="AQ57" i="16" s="1"/>
  <c r="AQ47" i="16"/>
  <c r="AQ129" i="16" s="1"/>
  <c r="M39" i="16"/>
  <c r="M77" i="16" s="1"/>
  <c r="J39" i="16"/>
  <c r="J77" i="16" s="1"/>
  <c r="G39" i="16"/>
  <c r="G77" i="16" s="1"/>
  <c r="W39" i="16"/>
  <c r="W77" i="16" s="1"/>
  <c r="Q39" i="16"/>
  <c r="Q77" i="16" s="1"/>
  <c r="U39" i="16"/>
  <c r="U77" i="16" s="1"/>
  <c r="X39" i="16"/>
  <c r="X77" i="16" s="1"/>
  <c r="P39" i="16"/>
  <c r="P77" i="16" s="1"/>
  <c r="K39" i="16"/>
  <c r="K77" i="16" s="1"/>
  <c r="T39" i="16"/>
  <c r="T77" i="16" s="1"/>
  <c r="H39" i="16"/>
  <c r="H77" i="16" s="1"/>
  <c r="N39" i="16"/>
  <c r="N77" i="16" s="1"/>
  <c r="L39" i="16"/>
  <c r="L77" i="16" s="1"/>
  <c r="R39" i="16"/>
  <c r="R77" i="16" s="1"/>
  <c r="O39" i="16"/>
  <c r="O77" i="16" s="1"/>
  <c r="S39" i="16"/>
  <c r="S77" i="16" s="1"/>
  <c r="V39" i="16"/>
  <c r="V77" i="16" s="1"/>
  <c r="I39" i="16"/>
  <c r="I77" i="16" s="1"/>
  <c r="AR39" i="16"/>
  <c r="AR77" i="16" s="1"/>
  <c r="AS35" i="16"/>
  <c r="AS55" i="16" s="1"/>
  <c r="AS47" i="16"/>
  <c r="AS129" i="16" s="1"/>
  <c r="AS45" i="16"/>
  <c r="AS100" i="16" s="1"/>
  <c r="AN34" i="16"/>
  <c r="AN54" i="16" s="1"/>
  <c r="AR40" i="16"/>
  <c r="AR78" i="16" s="1"/>
  <c r="AS43" i="16"/>
  <c r="AS98" i="16" s="1"/>
  <c r="AN42" i="16"/>
  <c r="AN97" i="16" s="1"/>
  <c r="AM47" i="16"/>
  <c r="AM129" i="16" s="1"/>
  <c r="AM39" i="16"/>
  <c r="AM77" i="16" s="1"/>
  <c r="AI44" i="16"/>
  <c r="AI99" i="16" s="1"/>
  <c r="AO33" i="16"/>
  <c r="Z31" i="9"/>
  <c r="Z54" i="9" s="1"/>
  <c r="CU39" i="9" s="1"/>
  <c r="AI45" i="16"/>
  <c r="AI100" i="16" s="1"/>
  <c r="Y30" i="16"/>
  <c r="AM38" i="16"/>
  <c r="AM76" i="16" s="1"/>
  <c r="AM43" i="16"/>
  <c r="AM98" i="16" s="1"/>
  <c r="AC32" i="16"/>
  <c r="AL38" i="16"/>
  <c r="AL76" i="16" s="1"/>
  <c r="AP38" i="16"/>
  <c r="AP76" i="16" s="1"/>
  <c r="C10" i="19"/>
  <c r="Z8" i="16"/>
  <c r="O38" i="9"/>
  <c r="O61" i="9" s="1"/>
  <c r="AA35" i="16"/>
  <c r="AA55" i="16" s="1"/>
  <c r="O36" i="9" l="1"/>
  <c r="O59" i="9" s="1"/>
  <c r="K30" i="9"/>
  <c r="K53" i="9" s="1"/>
  <c r="CF38" i="9" s="1"/>
  <c r="AE31" i="9"/>
  <c r="AE54" i="9" s="1"/>
  <c r="CZ39" i="9" s="1"/>
  <c r="AA31" i="9"/>
  <c r="AA54" i="9" s="1"/>
  <c r="CV39" i="9" s="1"/>
  <c r="V31" i="9"/>
  <c r="V54" i="9" s="1"/>
  <c r="CQ39" i="9" s="1"/>
  <c r="W31" i="9"/>
  <c r="W54" i="9" s="1"/>
  <c r="CR39" i="9" s="1"/>
  <c r="U31" i="9"/>
  <c r="U54" i="9" s="1"/>
  <c r="CP39" i="9" s="1"/>
  <c r="O35" i="9"/>
  <c r="O58" i="9" s="1"/>
  <c r="CJ43" i="9" s="1"/>
  <c r="CJ87" i="9" s="1"/>
  <c r="AH15" i="17" s="1"/>
  <c r="AD37" i="17" s="1"/>
  <c r="AD57" i="17" s="1"/>
  <c r="AD31" i="9"/>
  <c r="AD54" i="9" s="1"/>
  <c r="CY39" i="9" s="1"/>
  <c r="AM32" i="16"/>
  <c r="AC43" i="16"/>
  <c r="AC98" i="16" s="1"/>
  <c r="AE30" i="16"/>
  <c r="AD43" i="9"/>
  <c r="AD66" i="9" s="1"/>
  <c r="AZ44" i="16"/>
  <c r="AZ99" i="16" s="1"/>
  <c r="AT44" i="16"/>
  <c r="AT99" i="16" s="1"/>
  <c r="AG149" i="9"/>
  <c r="DB52" i="9"/>
  <c r="AH45" i="16"/>
  <c r="AH100" i="16" s="1"/>
  <c r="DB36" i="9"/>
  <c r="AL30" i="16"/>
  <c r="AH35" i="9"/>
  <c r="AH58" i="9" s="1"/>
  <c r="AI35" i="9"/>
  <c r="AI58" i="9" s="1"/>
  <c r="AG35" i="9"/>
  <c r="AG58" i="9" s="1"/>
  <c r="L35" i="9"/>
  <c r="L58" i="9" s="1"/>
  <c r="AC33" i="9"/>
  <c r="AC56" i="9" s="1"/>
  <c r="AZ43" i="16"/>
  <c r="AZ98" i="16" s="1"/>
  <c r="AT43" i="16"/>
  <c r="AT98" i="16" s="1"/>
  <c r="AQ31" i="16"/>
  <c r="AD43" i="16"/>
  <c r="AD98" i="16" s="1"/>
  <c r="Z10" i="16"/>
  <c r="AD31" i="16"/>
  <c r="AH40" i="9"/>
  <c r="AH63" i="9" s="1"/>
  <c r="AI40" i="9"/>
  <c r="AI63" i="9" s="1"/>
  <c r="AG40" i="9"/>
  <c r="AG63" i="9" s="1"/>
  <c r="DD52" i="9"/>
  <c r="AI149" i="9"/>
  <c r="AE37" i="9"/>
  <c r="AE60" i="9" s="1"/>
  <c r="DD36" i="9"/>
  <c r="AH44" i="16"/>
  <c r="AH99" i="16" s="1"/>
  <c r="L36" i="9"/>
  <c r="L59" i="9" s="1"/>
  <c r="AE33" i="9"/>
  <c r="AE56" i="9" s="1"/>
  <c r="AN32" i="16"/>
  <c r="Y30" i="9"/>
  <c r="Y53" i="9" s="1"/>
  <c r="CT38" i="9" s="1"/>
  <c r="Y31" i="16"/>
  <c r="AG31" i="16"/>
  <c r="AM31" i="16"/>
  <c r="V29" i="9"/>
  <c r="V52" i="9" s="1"/>
  <c r="CQ37" i="9" s="1"/>
  <c r="AA45" i="9"/>
  <c r="AA68" i="9" s="1"/>
  <c r="U30" i="9"/>
  <c r="U53" i="9" s="1"/>
  <c r="CP38" i="9" s="1"/>
  <c r="AH149" i="9"/>
  <c r="DC52" i="9"/>
  <c r="AZ39" i="16"/>
  <c r="AZ77" i="16" s="1"/>
  <c r="AT39" i="16"/>
  <c r="AT77" i="16" s="1"/>
  <c r="AH36" i="16"/>
  <c r="AH56" i="16" s="1"/>
  <c r="DC36" i="9"/>
  <c r="K36" i="9"/>
  <c r="K59" i="9" s="1"/>
  <c r="N38" i="9"/>
  <c r="N61" i="9" s="1"/>
  <c r="U29" i="9"/>
  <c r="U52" i="9" s="1"/>
  <c r="CP37" i="9" s="1"/>
  <c r="AZ38" i="16"/>
  <c r="AZ76" i="16" s="1"/>
  <c r="AT38" i="16"/>
  <c r="AT76" i="16" s="1"/>
  <c r="K37" i="9"/>
  <c r="K60" i="9" s="1"/>
  <c r="K34" i="9"/>
  <c r="K57" i="9" s="1"/>
  <c r="AS31" i="16"/>
  <c r="AB30" i="16"/>
  <c r="AA29" i="9"/>
  <c r="AA52" i="9" s="1"/>
  <c r="CV37" i="9" s="1"/>
  <c r="AH46" i="16"/>
  <c r="AH128" i="16" s="1"/>
  <c r="U41" i="9"/>
  <c r="U64" i="9" s="1"/>
  <c r="AH47" i="16"/>
  <c r="AH129" i="16" s="1"/>
  <c r="AD28" i="9"/>
  <c r="AR32" i="16"/>
  <c r="AC30" i="9"/>
  <c r="AC53" i="9" s="1"/>
  <c r="CX38" i="9" s="1"/>
  <c r="AF43" i="16"/>
  <c r="AF98" i="16" s="1"/>
  <c r="AB31" i="16"/>
  <c r="AE30" i="9"/>
  <c r="AE53" i="9" s="1"/>
  <c r="CZ38" i="9" s="1"/>
  <c r="AD33" i="9"/>
  <c r="AD56" i="9" s="1"/>
  <c r="W40" i="9"/>
  <c r="W63" i="9" s="1"/>
  <c r="AZ46" i="16"/>
  <c r="AZ128" i="16" s="1"/>
  <c r="AT46" i="16"/>
  <c r="AT128" i="16" s="1"/>
  <c r="AE29" i="9"/>
  <c r="AE52" i="9" s="1"/>
  <c r="CZ37" i="9" s="1"/>
  <c r="W30" i="9"/>
  <c r="W53" i="9" s="1"/>
  <c r="CR38" i="9" s="1"/>
  <c r="N37" i="9"/>
  <c r="N60" i="9" s="1"/>
  <c r="AE43" i="9"/>
  <c r="AE66" i="9" s="1"/>
  <c r="AN31" i="16"/>
  <c r="AC31" i="16"/>
  <c r="AO32" i="16"/>
  <c r="Z30" i="9"/>
  <c r="Z53" i="9" s="1"/>
  <c r="CU38" i="9" s="1"/>
  <c r="AE43" i="16"/>
  <c r="AE98" i="16" s="1"/>
  <c r="AB32" i="16"/>
  <c r="AA32" i="16"/>
  <c r="O78" i="9"/>
  <c r="O32" i="9"/>
  <c r="O55" i="9" s="1"/>
  <c r="L38" i="9"/>
  <c r="L61" i="9" s="1"/>
  <c r="AH36" i="9"/>
  <c r="AH59" i="9" s="1"/>
  <c r="AI36" i="9"/>
  <c r="AI59" i="9" s="1"/>
  <c r="AG36" i="9"/>
  <c r="AG59" i="9" s="1"/>
  <c r="K78" i="9"/>
  <c r="CF43" i="9"/>
  <c r="CF87" i="9" s="1"/>
  <c r="AD15" i="17" s="1"/>
  <c r="Z37" i="17" s="1"/>
  <c r="Z57" i="17" s="1"/>
  <c r="R34" i="9"/>
  <c r="R57" i="9" s="1"/>
  <c r="AZ31" i="16"/>
  <c r="AT31" i="16"/>
  <c r="AC43" i="9"/>
  <c r="AC66" i="9" s="1"/>
  <c r="AE34" i="9"/>
  <c r="AE57" i="9" s="1"/>
  <c r="AA30" i="9"/>
  <c r="AA53" i="9" s="1"/>
  <c r="CV38" i="9" s="1"/>
  <c r="AI33" i="9"/>
  <c r="AI56" i="9" s="1"/>
  <c r="AH33" i="9"/>
  <c r="AH56" i="9" s="1"/>
  <c r="AG33" i="9"/>
  <c r="AG56" i="9" s="1"/>
  <c r="L34" i="9"/>
  <c r="L57" i="9" s="1"/>
  <c r="AZ45" i="16"/>
  <c r="AZ100" i="16" s="1"/>
  <c r="AT45" i="16"/>
  <c r="AT100" i="16" s="1"/>
  <c r="AH43" i="9"/>
  <c r="AH66" i="9" s="1"/>
  <c r="AI43" i="9"/>
  <c r="AI66" i="9" s="1"/>
  <c r="AG43" i="9"/>
  <c r="AG66" i="9" s="1"/>
  <c r="AS30" i="16"/>
  <c r="Y43" i="16"/>
  <c r="Y98" i="16" s="1"/>
  <c r="AL31" i="16"/>
  <c r="AD41" i="9"/>
  <c r="AD64" i="9" s="1"/>
  <c r="AC37" i="9"/>
  <c r="AC60" i="9" s="1"/>
  <c r="AA43" i="9"/>
  <c r="AA66" i="9" s="1"/>
  <c r="AI37" i="9"/>
  <c r="AI60" i="9" s="1"/>
  <c r="AH37" i="9"/>
  <c r="AH60" i="9" s="1"/>
  <c r="AG37" i="9"/>
  <c r="AG60" i="9" s="1"/>
  <c r="AO26" i="16"/>
  <c r="AO27" i="16" s="1"/>
  <c r="AK30" i="16"/>
  <c r="AH39" i="9"/>
  <c r="AH62" i="9" s="1"/>
  <c r="AI39" i="9"/>
  <c r="AI62" i="9" s="1"/>
  <c r="AG39" i="9"/>
  <c r="AG62" i="9" s="1"/>
  <c r="AE38" i="9"/>
  <c r="AE61" i="9" s="1"/>
  <c r="N32" i="9"/>
  <c r="N55" i="9" s="1"/>
  <c r="AD39" i="9"/>
  <c r="AD62" i="9" s="1"/>
  <c r="Z21" i="16"/>
  <c r="Z9" i="16"/>
  <c r="AG30" i="16"/>
  <c r="L32" i="9"/>
  <c r="L55" i="9" s="1"/>
  <c r="O34" i="9"/>
  <c r="O57" i="9" s="1"/>
  <c r="AH32" i="9"/>
  <c r="AH55" i="9" s="1"/>
  <c r="AI32" i="9"/>
  <c r="AI55" i="9" s="1"/>
  <c r="AG32" i="9"/>
  <c r="AG55" i="9" s="1"/>
  <c r="AH33" i="16"/>
  <c r="V37" i="9"/>
  <c r="V60" i="9" s="1"/>
  <c r="AD36" i="9"/>
  <c r="AD59" i="9" s="1"/>
  <c r="AH32" i="16"/>
  <c r="S30" i="9"/>
  <c r="S53" i="9" s="1"/>
  <c r="CN38" i="9" s="1"/>
  <c r="K29" i="9"/>
  <c r="K52" i="9" s="1"/>
  <c r="CF37" i="9" s="1"/>
  <c r="AH42" i="16"/>
  <c r="AH97" i="16" s="1"/>
  <c r="AZ40" i="16"/>
  <c r="AZ78" i="16" s="1"/>
  <c r="AT40" i="16"/>
  <c r="AT78" i="16" s="1"/>
  <c r="O28" i="9"/>
  <c r="Z38" i="9"/>
  <c r="Z61" i="9" s="1"/>
  <c r="AD32" i="16"/>
  <c r="AG43" i="16"/>
  <c r="AG98" i="16" s="1"/>
  <c r="AE31" i="16"/>
  <c r="Q29" i="9"/>
  <c r="Q52" i="9" s="1"/>
  <c r="CL37" i="9" s="1"/>
  <c r="AF32" i="16"/>
  <c r="Q30" i="9"/>
  <c r="Q53" i="9" s="1"/>
  <c r="CL38" i="9" s="1"/>
  <c r="Z30" i="16"/>
  <c r="K28" i="9"/>
  <c r="W30" i="16"/>
  <c r="V30" i="16"/>
  <c r="M30" i="16"/>
  <c r="J30" i="16"/>
  <c r="G30" i="16"/>
  <c r="K30" i="16"/>
  <c r="S30" i="16"/>
  <c r="H30" i="16"/>
  <c r="O30" i="16"/>
  <c r="L30" i="16"/>
  <c r="T30" i="16"/>
  <c r="U30" i="16"/>
  <c r="P30" i="16"/>
  <c r="Q30" i="16"/>
  <c r="X30" i="16"/>
  <c r="R30" i="16"/>
  <c r="N30" i="16"/>
  <c r="I30" i="16"/>
  <c r="AE45" i="9"/>
  <c r="AE68" i="9" s="1"/>
  <c r="AH43" i="16"/>
  <c r="AH98" i="16" s="1"/>
  <c r="AC38" i="9"/>
  <c r="AC61" i="9" s="1"/>
  <c r="AJ30" i="16"/>
  <c r="AN26" i="16"/>
  <c r="AN27" i="16" s="1"/>
  <c r="AG99" i="9"/>
  <c r="DB46" i="9"/>
  <c r="R38" i="9"/>
  <c r="R61" i="9" s="1"/>
  <c r="O37" i="9"/>
  <c r="O60" i="9" s="1"/>
  <c r="AA33" i="9"/>
  <c r="AA56" i="9" s="1"/>
  <c r="Y41" i="9"/>
  <c r="Y64" i="9" s="1"/>
  <c r="Z41" i="9"/>
  <c r="Z64" i="9" s="1"/>
  <c r="AZ41" i="16"/>
  <c r="AZ79" i="16" s="1"/>
  <c r="AT41" i="16"/>
  <c r="AT79" i="16" s="1"/>
  <c r="AZ33" i="16"/>
  <c r="AT33" i="16"/>
  <c r="Q34" i="9"/>
  <c r="Q57" i="9" s="1"/>
  <c r="AD30" i="9"/>
  <c r="AD53" i="9" s="1"/>
  <c r="CY38" i="9" s="1"/>
  <c r="Z43" i="16"/>
  <c r="Z98" i="16" s="1"/>
  <c r="AA30" i="16"/>
  <c r="L28" i="9"/>
  <c r="AO31" i="16"/>
  <c r="AZ47" i="16"/>
  <c r="AZ129" i="16" s="1"/>
  <c r="AT47" i="16"/>
  <c r="AT129" i="16" s="1"/>
  <c r="CJ44" i="9"/>
  <c r="O97" i="9"/>
  <c r="AE35" i="9"/>
  <c r="AE58" i="9" s="1"/>
  <c r="AH99" i="9"/>
  <c r="DC46" i="9"/>
  <c r="N35" i="9"/>
  <c r="N58" i="9" s="1"/>
  <c r="K75" i="9"/>
  <c r="CF40" i="9"/>
  <c r="N34" i="9"/>
  <c r="N57" i="9" s="1"/>
  <c r="AG77" i="9"/>
  <c r="DB42" i="9"/>
  <c r="AH41" i="16"/>
  <c r="AH79" i="16" s="1"/>
  <c r="AD38" i="9"/>
  <c r="AD61" i="9" s="1"/>
  <c r="AD35" i="9"/>
  <c r="AD58" i="9" s="1"/>
  <c r="AG120" i="9"/>
  <c r="DB50" i="9"/>
  <c r="AI41" i="9"/>
  <c r="AI64" i="9" s="1"/>
  <c r="AH41" i="9"/>
  <c r="AH64" i="9" s="1"/>
  <c r="AG41" i="9"/>
  <c r="AG64" i="9" s="1"/>
  <c r="AP30" i="16"/>
  <c r="AT26" i="16"/>
  <c r="AT27" i="16" s="1"/>
  <c r="AA43" i="16"/>
  <c r="AA98" i="16" s="1"/>
  <c r="AC30" i="16"/>
  <c r="AG32" i="16"/>
  <c r="R30" i="9"/>
  <c r="R53" i="9" s="1"/>
  <c r="CM38" i="9" s="1"/>
  <c r="AE40" i="9"/>
  <c r="AE63" i="9" s="1"/>
  <c r="U42" i="9"/>
  <c r="U65" i="9" s="1"/>
  <c r="AZ37" i="16"/>
  <c r="AZ57" i="16" s="1"/>
  <c r="AT37" i="16"/>
  <c r="AT57" i="16" s="1"/>
  <c r="AI99" i="9"/>
  <c r="DD46" i="9"/>
  <c r="AA37" i="9"/>
  <c r="AA60" i="9" s="1"/>
  <c r="AC40" i="9"/>
  <c r="AC63" i="9" s="1"/>
  <c r="AC41" i="9"/>
  <c r="AC64" i="9" s="1"/>
  <c r="V30" i="9"/>
  <c r="V53" i="9" s="1"/>
  <c r="CQ38" i="9" s="1"/>
  <c r="AI45" i="9"/>
  <c r="AI68" i="9" s="1"/>
  <c r="AH45" i="9"/>
  <c r="AH68" i="9" s="1"/>
  <c r="AG45" i="9"/>
  <c r="AG68" i="9" s="1"/>
  <c r="AH77" i="9"/>
  <c r="DC42" i="9"/>
  <c r="AZ34" i="16"/>
  <c r="AZ54" i="16" s="1"/>
  <c r="AT34" i="16"/>
  <c r="AT54" i="16" s="1"/>
  <c r="S37" i="9"/>
  <c r="S60" i="9" s="1"/>
  <c r="DD50" i="9"/>
  <c r="AI120" i="9"/>
  <c r="Q35" i="9"/>
  <c r="Q58" i="9" s="1"/>
  <c r="K38" i="9"/>
  <c r="K61" i="9" s="1"/>
  <c r="AC34" i="9"/>
  <c r="AC57" i="9" s="1"/>
  <c r="AA31" i="16"/>
  <c r="L29" i="9"/>
  <c r="L52" i="9" s="1"/>
  <c r="CG37" i="9" s="1"/>
  <c r="W28" i="9"/>
  <c r="AB43" i="16"/>
  <c r="AB98" i="16" s="1"/>
  <c r="AF30" i="16"/>
  <c r="AR31" i="16"/>
  <c r="CJ46" i="9"/>
  <c r="O99" i="9"/>
  <c r="AZ42" i="16"/>
  <c r="AZ97" i="16" s="1"/>
  <c r="AT42" i="16"/>
  <c r="AT97" i="16" s="1"/>
  <c r="CI44" i="9"/>
  <c r="N97" i="9"/>
  <c r="AA35" i="9"/>
  <c r="AA58" i="9" s="1"/>
  <c r="L37" i="9"/>
  <c r="L60" i="9" s="1"/>
  <c r="AI77" i="9"/>
  <c r="DD42" i="9"/>
  <c r="AH120" i="9"/>
  <c r="DC50" i="9"/>
  <c r="AH35" i="16"/>
  <c r="AH55" i="16" s="1"/>
  <c r="AE41" i="9"/>
  <c r="AE64" i="9" s="1"/>
  <c r="AD32" i="9"/>
  <c r="AD55" i="9" s="1"/>
  <c r="AD37" i="9"/>
  <c r="AD60" i="9" s="1"/>
  <c r="V43" i="9"/>
  <c r="V66" i="9" s="1"/>
  <c r="R36" i="9"/>
  <c r="R59" i="9" s="1"/>
  <c r="AC35" i="9"/>
  <c r="AC58" i="9" s="1"/>
  <c r="AD47" i="16"/>
  <c r="AD129" i="16" s="1"/>
  <c r="Y46" i="16"/>
  <c r="Y128" i="16" s="1"/>
  <c r="AF44" i="16"/>
  <c r="AF99" i="16" s="1"/>
  <c r="AC42" i="16"/>
  <c r="AC97" i="16" s="1"/>
  <c r="AE42" i="16"/>
  <c r="AE97" i="16" s="1"/>
  <c r="AC47" i="16"/>
  <c r="AC129" i="16" s="1"/>
  <c r="AA41" i="16"/>
  <c r="AA79" i="16" s="1"/>
  <c r="AF45" i="16"/>
  <c r="AF100" i="16" s="1"/>
  <c r="AB42" i="16"/>
  <c r="AB97" i="16" s="1"/>
  <c r="Z13" i="16"/>
  <c r="AE47" i="16"/>
  <c r="AE129" i="16" s="1"/>
  <c r="AE41" i="16"/>
  <c r="AE79" i="16" s="1"/>
  <c r="AA44" i="16"/>
  <c r="AA99" i="16" s="1"/>
  <c r="Y45" i="16"/>
  <c r="Y100" i="16" s="1"/>
  <c r="AC35" i="16"/>
  <c r="AC55" i="16" s="1"/>
  <c r="AD42" i="16"/>
  <c r="AD97" i="16" s="1"/>
  <c r="Z47" i="16"/>
  <c r="Z129" i="16" s="1"/>
  <c r="AG41" i="16"/>
  <c r="AG79" i="16" s="1"/>
  <c r="Z24" i="16"/>
  <c r="AC44" i="16"/>
  <c r="AC99" i="16" s="1"/>
  <c r="Z23" i="16"/>
  <c r="S31" i="9"/>
  <c r="S54" i="9" s="1"/>
  <c r="AA42" i="16"/>
  <c r="AA97" i="16" s="1"/>
  <c r="AD35" i="16"/>
  <c r="AD55" i="16" s="1"/>
  <c r="AF47" i="16"/>
  <c r="AF129" i="16" s="1"/>
  <c r="Y41" i="16"/>
  <c r="Y79" i="16" s="1"/>
  <c r="AF46" i="16"/>
  <c r="AF128" i="16" s="1"/>
  <c r="AG44" i="16"/>
  <c r="AG99" i="16" s="1"/>
  <c r="AC45" i="16"/>
  <c r="AC100" i="16" s="1"/>
  <c r="Z42" i="16"/>
  <c r="Z97" i="16" s="1"/>
  <c r="AB45" i="16"/>
  <c r="AB100" i="16" s="1"/>
  <c r="AA47" i="16"/>
  <c r="AA129" i="16" s="1"/>
  <c r="Z19" i="16"/>
  <c r="AB46" i="16"/>
  <c r="AB128" i="16" s="1"/>
  <c r="Z22" i="16"/>
  <c r="Z45" i="16"/>
  <c r="Z100" i="16" s="1"/>
  <c r="AF42" i="16"/>
  <c r="AF97" i="16" s="1"/>
  <c r="Y47" i="16"/>
  <c r="Y129" i="16" s="1"/>
  <c r="AG47" i="16"/>
  <c r="AG129" i="16" s="1"/>
  <c r="Z35" i="16"/>
  <c r="Z55" i="16" s="1"/>
  <c r="Z41" i="16"/>
  <c r="Z79" i="16" s="1"/>
  <c r="AA46" i="16"/>
  <c r="AA128" i="16" s="1"/>
  <c r="Z44" i="16"/>
  <c r="Z99" i="16" s="1"/>
  <c r="AE45" i="16"/>
  <c r="AE100" i="16" s="1"/>
  <c r="Z20" i="16"/>
  <c r="AF41" i="16"/>
  <c r="AF79" i="16" s="1"/>
  <c r="AB47" i="16"/>
  <c r="AB129" i="16" s="1"/>
  <c r="AD41" i="16"/>
  <c r="AD79" i="16" s="1"/>
  <c r="AC46" i="16"/>
  <c r="AC128" i="16" s="1"/>
  <c r="AB44" i="16"/>
  <c r="AB99" i="16" s="1"/>
  <c r="Y35" i="16"/>
  <c r="Y55" i="16" s="1"/>
  <c r="AG45" i="16"/>
  <c r="AG100" i="16" s="1"/>
  <c r="AG42" i="16"/>
  <c r="AG97" i="16" s="1"/>
  <c r="Z25" i="16"/>
  <c r="AC41" i="16"/>
  <c r="AC79" i="16" s="1"/>
  <c r="Z46" i="16"/>
  <c r="Z128" i="16" s="1"/>
  <c r="Y44" i="16"/>
  <c r="Y99" i="16" s="1"/>
  <c r="AD45" i="16"/>
  <c r="AD100" i="16" s="1"/>
  <c r="AG35" i="16"/>
  <c r="AG55" i="16" s="1"/>
  <c r="AB35" i="16"/>
  <c r="AB55" i="16" s="1"/>
  <c r="AG46" i="16"/>
  <c r="AG128" i="16" s="1"/>
  <c r="AF35" i="16"/>
  <c r="AF55" i="16" s="1"/>
  <c r="AB41" i="16"/>
  <c r="AB79" i="16" s="1"/>
  <c r="AE46" i="16"/>
  <c r="AE128" i="16" s="1"/>
  <c r="AE44" i="16"/>
  <c r="AE99" i="16" s="1"/>
  <c r="AA45" i="16"/>
  <c r="AA100" i="16" s="1"/>
  <c r="AE35" i="16"/>
  <c r="AE55" i="16" s="1"/>
  <c r="AD46" i="16"/>
  <c r="AD128" i="16" s="1"/>
  <c r="AD44" i="16"/>
  <c r="AD99" i="16" s="1"/>
  <c r="Y42" i="16"/>
  <c r="Y97" i="16" s="1"/>
  <c r="L30" i="9" l="1"/>
  <c r="L53" i="9" s="1"/>
  <c r="CG38" i="9" s="1"/>
  <c r="U43" i="9"/>
  <c r="U66" i="9" s="1"/>
  <c r="AD34" i="9"/>
  <c r="AD57" i="9" s="1"/>
  <c r="W43" i="9"/>
  <c r="W66" i="9" s="1"/>
  <c r="AA28" i="9"/>
  <c r="Y44" i="9"/>
  <c r="Y67" i="9" s="1"/>
  <c r="AA36" i="9"/>
  <c r="AA59" i="9" s="1"/>
  <c r="Y45" i="9"/>
  <c r="Y68" i="9" s="1"/>
  <c r="Y29" i="9"/>
  <c r="Y52" i="9" s="1"/>
  <c r="CT37" i="9" s="1"/>
  <c r="V41" i="9"/>
  <c r="V64" i="9" s="1"/>
  <c r="V119" i="9" s="1"/>
  <c r="V45" i="9"/>
  <c r="V68" i="9" s="1"/>
  <c r="V150" i="9" s="1"/>
  <c r="AA44" i="9"/>
  <c r="AA67" i="9" s="1"/>
  <c r="CV52" i="9" s="1"/>
  <c r="AD44" i="9"/>
  <c r="AD67" i="9" s="1"/>
  <c r="W29" i="9"/>
  <c r="W52" i="9" s="1"/>
  <c r="CR37" i="9" s="1"/>
  <c r="AD29" i="9"/>
  <c r="AD52" i="9" s="1"/>
  <c r="CY37" i="9" s="1"/>
  <c r="AC44" i="9"/>
  <c r="AC67" i="9" s="1"/>
  <c r="N28" i="9"/>
  <c r="Z45" i="9"/>
  <c r="Z68" i="9" s="1"/>
  <c r="AC29" i="9"/>
  <c r="AC52" i="9" s="1"/>
  <c r="CX37" i="9" s="1"/>
  <c r="Z29" i="9"/>
  <c r="Z52" i="9" s="1"/>
  <c r="CU37" i="9" s="1"/>
  <c r="K31" i="9"/>
  <c r="K54" i="9" s="1"/>
  <c r="Q38" i="9"/>
  <c r="Q61" i="9" s="1"/>
  <c r="Z39" i="9"/>
  <c r="Z62" i="9" s="1"/>
  <c r="Z100" i="9" s="1"/>
  <c r="V32" i="9"/>
  <c r="V55" i="9" s="1"/>
  <c r="V75" i="9" s="1"/>
  <c r="S38" i="9"/>
  <c r="S61" i="9" s="1"/>
  <c r="AE39" i="9"/>
  <c r="AE62" i="9" s="1"/>
  <c r="AE100" i="9" s="1"/>
  <c r="Q37" i="9"/>
  <c r="Q60" i="9" s="1"/>
  <c r="CL45" i="9" s="1"/>
  <c r="Y37" i="9"/>
  <c r="Y60" i="9" s="1"/>
  <c r="CT45" i="9" s="1"/>
  <c r="Y43" i="9"/>
  <c r="Y66" i="9" s="1"/>
  <c r="AA42" i="9"/>
  <c r="AA65" i="9" s="1"/>
  <c r="W33" i="9"/>
  <c r="W56" i="9" s="1"/>
  <c r="CR41" i="9" s="1"/>
  <c r="AA34" i="9"/>
  <c r="AA57" i="9" s="1"/>
  <c r="CV42" i="9" s="1"/>
  <c r="CV86" i="9" s="1"/>
  <c r="U37" i="9"/>
  <c r="U60" i="9" s="1"/>
  <c r="CP45" i="9" s="1"/>
  <c r="W37" i="9"/>
  <c r="W60" i="9" s="1"/>
  <c r="W98" i="9" s="1"/>
  <c r="AE42" i="9"/>
  <c r="AE65" i="9" s="1"/>
  <c r="AA38" i="9"/>
  <c r="AA61" i="9" s="1"/>
  <c r="AA99" i="9" s="1"/>
  <c r="AW26" i="16"/>
  <c r="AW27" i="16" s="1"/>
  <c r="AC45" i="9"/>
  <c r="AC68" i="9" s="1"/>
  <c r="CX53" i="9" s="1"/>
  <c r="U33" i="9"/>
  <c r="U56" i="9" s="1"/>
  <c r="U76" i="9" s="1"/>
  <c r="Q31" i="9"/>
  <c r="Q54" i="9" s="1"/>
  <c r="AD42" i="9"/>
  <c r="AD65" i="9" s="1"/>
  <c r="Z34" i="9"/>
  <c r="Z57" i="9" s="1"/>
  <c r="W34" i="9"/>
  <c r="W57" i="9" s="1"/>
  <c r="Z37" i="9"/>
  <c r="Z60" i="9" s="1"/>
  <c r="Z98" i="9" s="1"/>
  <c r="AC39" i="9"/>
  <c r="AC62" i="9" s="1"/>
  <c r="CX47" i="9" s="1"/>
  <c r="V38" i="9"/>
  <c r="V61" i="9" s="1"/>
  <c r="CQ46" i="9" s="1"/>
  <c r="R31" i="9"/>
  <c r="R54" i="9" s="1"/>
  <c r="Y42" i="9"/>
  <c r="Y65" i="9" s="1"/>
  <c r="Z42" i="9"/>
  <c r="Z65" i="9" s="1"/>
  <c r="Z120" i="9" s="1"/>
  <c r="AE32" i="9"/>
  <c r="AE55" i="9" s="1"/>
  <c r="AE75" i="9" s="1"/>
  <c r="AA32" i="9"/>
  <c r="AA55" i="9" s="1"/>
  <c r="CV40" i="9" s="1"/>
  <c r="Y38" i="9"/>
  <c r="Y61" i="9" s="1"/>
  <c r="CT46" i="9" s="1"/>
  <c r="AA40" i="9"/>
  <c r="AA63" i="9" s="1"/>
  <c r="CV48" i="9" s="1"/>
  <c r="U40" i="9"/>
  <c r="U63" i="9" s="1"/>
  <c r="U118" i="9" s="1"/>
  <c r="AG69" i="9"/>
  <c r="DB54" i="9" s="1"/>
  <c r="W35" i="9"/>
  <c r="W58" i="9" s="1"/>
  <c r="W78" i="9" s="1"/>
  <c r="AI69" i="9"/>
  <c r="DD54" i="9" s="1"/>
  <c r="AH69" i="9"/>
  <c r="DC54" i="9" s="1"/>
  <c r="U44" i="9"/>
  <c r="U67" i="9" s="1"/>
  <c r="CP52" i="9" s="1"/>
  <c r="AA41" i="9"/>
  <c r="AA64" i="9" s="1"/>
  <c r="AA119" i="9" s="1"/>
  <c r="Z43" i="9"/>
  <c r="Z66" i="9" s="1"/>
  <c r="CP50" i="9"/>
  <c r="U120" i="9"/>
  <c r="CM42" i="9"/>
  <c r="CM86" i="9" s="1"/>
  <c r="R77" i="9"/>
  <c r="CU46" i="9"/>
  <c r="Z99" i="9"/>
  <c r="AD75" i="9"/>
  <c r="CY40" i="9"/>
  <c r="AA121" i="9"/>
  <c r="CV51" i="9"/>
  <c r="CV41" i="9"/>
  <c r="AA76" i="9"/>
  <c r="AD97" i="9"/>
  <c r="CY44" i="9"/>
  <c r="CZ42" i="9"/>
  <c r="CZ86" i="9" s="1"/>
  <c r="AE77" i="9"/>
  <c r="R97" i="9"/>
  <c r="CM44" i="9"/>
  <c r="W49" i="9"/>
  <c r="W51" i="9"/>
  <c r="CQ45" i="9"/>
  <c r="V98" i="9"/>
  <c r="AA78" i="9"/>
  <c r="CV43" i="9"/>
  <c r="CV87" i="9" s="1"/>
  <c r="AT15" i="17" s="1"/>
  <c r="AP37" i="17" s="1"/>
  <c r="AP57" i="17" s="1"/>
  <c r="R99" i="9"/>
  <c r="CM46" i="9"/>
  <c r="AC78" i="9"/>
  <c r="CX43" i="9"/>
  <c r="CX87" i="9" s="1"/>
  <c r="AV15" i="17" s="1"/>
  <c r="AR37" i="17" s="1"/>
  <c r="AR57" i="17" s="1"/>
  <c r="AE119" i="9"/>
  <c r="CZ49" i="9"/>
  <c r="AD77" i="9"/>
  <c r="CY42" i="9"/>
  <c r="CY86" i="9" s="1"/>
  <c r="Q32" i="9"/>
  <c r="Q55" i="9" s="1"/>
  <c r="R28" i="9"/>
  <c r="AG98" i="9"/>
  <c r="DB45" i="9"/>
  <c r="U28" i="9"/>
  <c r="AH30" i="16"/>
  <c r="V42" i="9"/>
  <c r="V65" i="9" s="1"/>
  <c r="AS26" i="16"/>
  <c r="AS27" i="16" s="1"/>
  <c r="AO30" i="16"/>
  <c r="Z36" i="9"/>
  <c r="Z59" i="9" s="1"/>
  <c r="S32" i="9"/>
  <c r="S55" i="9" s="1"/>
  <c r="AP26" i="16"/>
  <c r="AP27" i="16" s="1"/>
  <c r="W76" i="9"/>
  <c r="CX48" i="9"/>
  <c r="AC118" i="9"/>
  <c r="CZ48" i="9"/>
  <c r="AE118" i="9"/>
  <c r="L49" i="9"/>
  <c r="L51" i="9"/>
  <c r="CG36" i="9" s="1"/>
  <c r="Z119" i="9"/>
  <c r="CU49" i="9"/>
  <c r="AG100" i="9"/>
  <c r="DB47" i="9"/>
  <c r="AH98" i="9"/>
  <c r="DC45" i="9"/>
  <c r="AG97" i="9"/>
  <c r="DB44" i="9"/>
  <c r="W42" i="9"/>
  <c r="W65" i="9" s="1"/>
  <c r="V35" i="9"/>
  <c r="V58" i="9" s="1"/>
  <c r="AZ32" i="16"/>
  <c r="AT32" i="16"/>
  <c r="Z44" i="9"/>
  <c r="Z67" i="9" s="1"/>
  <c r="V33" i="9"/>
  <c r="V56" i="9" s="1"/>
  <c r="CF45" i="9"/>
  <c r="K98" i="9"/>
  <c r="U45" i="9"/>
  <c r="U68" i="9" s="1"/>
  <c r="R29" i="9"/>
  <c r="R52" i="9" s="1"/>
  <c r="CM37" i="9" s="1"/>
  <c r="CZ41" i="9"/>
  <c r="AE76" i="9"/>
  <c r="R35" i="9"/>
  <c r="R58" i="9" s="1"/>
  <c r="V36" i="9"/>
  <c r="V59" i="9" s="1"/>
  <c r="L98" i="9"/>
  <c r="CG45" i="9"/>
  <c r="AA120" i="9"/>
  <c r="CV50" i="9"/>
  <c r="CL43" i="9"/>
  <c r="CL87" i="9" s="1"/>
  <c r="AJ15" i="17" s="1"/>
  <c r="AF37" i="17" s="1"/>
  <c r="AF57" i="17" s="1"/>
  <c r="Q78" i="9"/>
  <c r="AG150" i="9"/>
  <c r="DB53" i="9"/>
  <c r="AE78" i="9"/>
  <c r="CZ43" i="9"/>
  <c r="CZ87" i="9" s="1"/>
  <c r="AI100" i="9"/>
  <c r="DD47" i="9"/>
  <c r="AI98" i="9"/>
  <c r="DD45" i="9"/>
  <c r="AC98" i="9"/>
  <c r="CX45" i="9"/>
  <c r="AI97" i="9"/>
  <c r="DD44" i="9"/>
  <c r="AD49" i="9"/>
  <c r="AD51" i="9"/>
  <c r="U35" i="9"/>
  <c r="U58" i="9" s="1"/>
  <c r="V39" i="9"/>
  <c r="V62" i="9" s="1"/>
  <c r="Y98" i="9"/>
  <c r="R32" i="16"/>
  <c r="N32" i="16"/>
  <c r="W32" i="16"/>
  <c r="I32" i="16"/>
  <c r="M32" i="16"/>
  <c r="J32" i="16"/>
  <c r="S32" i="16"/>
  <c r="G32" i="16"/>
  <c r="O32" i="16"/>
  <c r="K32" i="16"/>
  <c r="T32" i="16"/>
  <c r="H32" i="16"/>
  <c r="P32" i="16"/>
  <c r="L32" i="16"/>
  <c r="V32" i="16"/>
  <c r="U32" i="16"/>
  <c r="Q32" i="16"/>
  <c r="X32" i="16"/>
  <c r="W32" i="9"/>
  <c r="W55" i="9" s="1"/>
  <c r="Z35" i="9"/>
  <c r="Z58" i="9" s="1"/>
  <c r="CQ51" i="9"/>
  <c r="V121" i="9"/>
  <c r="S36" i="9"/>
  <c r="S59" i="9" s="1"/>
  <c r="AH150" i="9"/>
  <c r="DC53" i="9"/>
  <c r="CV45" i="9"/>
  <c r="AA98" i="9"/>
  <c r="AA97" i="9"/>
  <c r="CV44" i="9"/>
  <c r="N77" i="9"/>
  <c r="CI42" i="9"/>
  <c r="CI86" i="9" s="1"/>
  <c r="K41" i="9"/>
  <c r="K64" i="9" s="1"/>
  <c r="Y119" i="9"/>
  <c r="CT49" i="9"/>
  <c r="K49" i="9"/>
  <c r="K51" i="9"/>
  <c r="CF36" i="9" s="1"/>
  <c r="O49" i="9"/>
  <c r="O51" i="9"/>
  <c r="CJ36" i="9" s="1"/>
  <c r="AA39" i="9"/>
  <c r="AA62" i="9" s="1"/>
  <c r="CP49" i="9"/>
  <c r="U119" i="9"/>
  <c r="N31" i="16"/>
  <c r="S31" i="16"/>
  <c r="O31" i="16"/>
  <c r="W31" i="16"/>
  <c r="K31" i="16"/>
  <c r="H31" i="16"/>
  <c r="L31" i="16"/>
  <c r="I31" i="16"/>
  <c r="T31" i="16"/>
  <c r="M31" i="16"/>
  <c r="P31" i="16"/>
  <c r="J31" i="16"/>
  <c r="U31" i="16"/>
  <c r="G31" i="16"/>
  <c r="Q31" i="16"/>
  <c r="X31" i="16"/>
  <c r="V31" i="16"/>
  <c r="R31" i="16"/>
  <c r="AH100" i="9"/>
  <c r="DC47" i="9"/>
  <c r="AH97" i="9"/>
  <c r="DC44" i="9"/>
  <c r="W44" i="9"/>
  <c r="W67" i="9" s="1"/>
  <c r="AC42" i="9"/>
  <c r="AC65" i="9" s="1"/>
  <c r="CU45" i="9"/>
  <c r="V40" i="9"/>
  <c r="V63" i="9" s="1"/>
  <c r="DD53" i="9"/>
  <c r="AI150" i="9"/>
  <c r="U39" i="9"/>
  <c r="U62" i="9" s="1"/>
  <c r="W39" i="9"/>
  <c r="W62" i="9" s="1"/>
  <c r="CX46" i="9"/>
  <c r="AC99" i="9"/>
  <c r="CR51" i="9"/>
  <c r="W121" i="9"/>
  <c r="AD120" i="9"/>
  <c r="CY50" i="9"/>
  <c r="AD119" i="9"/>
  <c r="CY49" i="9"/>
  <c r="L77" i="9"/>
  <c r="CG42" i="9"/>
  <c r="CG86" i="9" s="1"/>
  <c r="CX51" i="9"/>
  <c r="AC121" i="9"/>
  <c r="CU53" i="9"/>
  <c r="Z150" i="9"/>
  <c r="S34" i="9"/>
  <c r="S57" i="9" s="1"/>
  <c r="L97" i="9"/>
  <c r="CG44" i="9"/>
  <c r="CU42" i="9"/>
  <c r="CU86" i="9" s="1"/>
  <c r="Z77" i="9"/>
  <c r="CR42" i="9"/>
  <c r="CR86" i="9" s="1"/>
  <c r="W77" i="9"/>
  <c r="AM26" i="16"/>
  <c r="AM27" i="16" s="1"/>
  <c r="AI30" i="16"/>
  <c r="N43" i="16"/>
  <c r="N98" i="16" s="1"/>
  <c r="Q43" i="16"/>
  <c r="Q98" i="16" s="1"/>
  <c r="O43" i="16"/>
  <c r="O98" i="16" s="1"/>
  <c r="P43" i="16"/>
  <c r="P98" i="16" s="1"/>
  <c r="U43" i="16"/>
  <c r="U98" i="16" s="1"/>
  <c r="R43" i="16"/>
  <c r="R98" i="16" s="1"/>
  <c r="X43" i="16"/>
  <c r="X98" i="16" s="1"/>
  <c r="T43" i="16"/>
  <c r="T98" i="16" s="1"/>
  <c r="S43" i="16"/>
  <c r="S98" i="16" s="1"/>
  <c r="W43" i="16"/>
  <c r="W98" i="16" s="1"/>
  <c r="V43" i="16"/>
  <c r="V98" i="16" s="1"/>
  <c r="G43" i="16"/>
  <c r="G98" i="16" s="1"/>
  <c r="I43" i="16"/>
  <c r="I98" i="16" s="1"/>
  <c r="J43" i="16"/>
  <c r="J98" i="16" s="1"/>
  <c r="M43" i="16"/>
  <c r="M98" i="16" s="1"/>
  <c r="H43" i="16"/>
  <c r="H98" i="16" s="1"/>
  <c r="K43" i="16"/>
  <c r="K98" i="16" s="1"/>
  <c r="L43" i="16"/>
  <c r="L98" i="16" s="1"/>
  <c r="AG76" i="9"/>
  <c r="DB41" i="9"/>
  <c r="CZ51" i="9"/>
  <c r="AE121" i="9"/>
  <c r="CY41" i="9"/>
  <c r="AD76" i="9"/>
  <c r="Y28" i="9"/>
  <c r="AD45" i="9"/>
  <c r="AD68" i="9" s="1"/>
  <c r="AH31" i="16"/>
  <c r="S29" i="9"/>
  <c r="S52" i="9" s="1"/>
  <c r="CN37" i="9" s="1"/>
  <c r="Q99" i="9"/>
  <c r="CL46" i="9"/>
  <c r="Y149" i="9"/>
  <c r="CT52" i="9"/>
  <c r="W118" i="9"/>
  <c r="CR48" i="9"/>
  <c r="CN45" i="9"/>
  <c r="S98" i="9"/>
  <c r="CX52" i="9"/>
  <c r="AC149" i="9"/>
  <c r="N49" i="9"/>
  <c r="N51" i="9"/>
  <c r="CI36" i="9" s="1"/>
  <c r="AG119" i="9"/>
  <c r="DB49" i="9"/>
  <c r="AD78" i="9"/>
  <c r="CY43" i="9"/>
  <c r="CY87" i="9" s="1"/>
  <c r="AW15" i="17" s="1"/>
  <c r="AS37" i="17" s="1"/>
  <c r="AS57" i="17" s="1"/>
  <c r="CL42" i="9"/>
  <c r="CL86" i="9" s="1"/>
  <c r="Q77" i="9"/>
  <c r="O98" i="9"/>
  <c r="CJ45" i="9"/>
  <c r="DC41" i="9"/>
  <c r="AH76" i="9"/>
  <c r="Y39" i="9"/>
  <c r="Y62" i="9" s="1"/>
  <c r="CV49" i="9"/>
  <c r="Z33" i="9"/>
  <c r="Z56" i="9" s="1"/>
  <c r="Z40" i="9"/>
  <c r="Z63" i="9" s="1"/>
  <c r="AE44" i="9"/>
  <c r="AE67" i="9" s="1"/>
  <c r="S35" i="9"/>
  <c r="S58" i="9" s="1"/>
  <c r="AG118" i="9"/>
  <c r="DB48" i="9"/>
  <c r="AC76" i="9"/>
  <c r="CX41" i="9"/>
  <c r="Y36" i="9"/>
  <c r="Y59" i="9" s="1"/>
  <c r="U36" i="9"/>
  <c r="U59" i="9" s="1"/>
  <c r="AH119" i="9"/>
  <c r="DC49" i="9"/>
  <c r="U121" i="9"/>
  <c r="CP51" i="9"/>
  <c r="AA49" i="9"/>
  <c r="AA51" i="9"/>
  <c r="CY47" i="9"/>
  <c r="AD100" i="9"/>
  <c r="Q36" i="9"/>
  <c r="Q59" i="9" s="1"/>
  <c r="CU51" i="9"/>
  <c r="Z121" i="9"/>
  <c r="AG121" i="9"/>
  <c r="DB51" i="9"/>
  <c r="DD41" i="9"/>
  <c r="AI76" i="9"/>
  <c r="CG46" i="9"/>
  <c r="L99" i="9"/>
  <c r="CI45" i="9"/>
  <c r="N98" i="9"/>
  <c r="Y40" i="9"/>
  <c r="Y63" i="9" s="1"/>
  <c r="AR26" i="16"/>
  <c r="AR27" i="16" s="1"/>
  <c r="AN30" i="16"/>
  <c r="CI46" i="9"/>
  <c r="N99" i="9"/>
  <c r="AI118" i="9"/>
  <c r="DD48" i="9"/>
  <c r="AE28" i="9"/>
  <c r="CG43" i="9"/>
  <c r="CG87" i="9" s="1"/>
  <c r="AE15" i="17" s="1"/>
  <c r="AA37" i="17" s="1"/>
  <c r="AA57" i="17" s="1"/>
  <c r="L78" i="9"/>
  <c r="AD121" i="9"/>
  <c r="CY51" i="9"/>
  <c r="CY45" i="9"/>
  <c r="AD98" i="9"/>
  <c r="Y35" i="9"/>
  <c r="Y58" i="9" s="1"/>
  <c r="AI119" i="9"/>
  <c r="DD49" i="9"/>
  <c r="CY46" i="9"/>
  <c r="AD99" i="9"/>
  <c r="AD149" i="9"/>
  <c r="CY52" i="9"/>
  <c r="CZ53" i="9"/>
  <c r="AE150" i="9"/>
  <c r="AG75" i="9"/>
  <c r="DB40" i="9"/>
  <c r="CI40" i="9"/>
  <c r="N75" i="9"/>
  <c r="CT51" i="9"/>
  <c r="Y121" i="9"/>
  <c r="AI121" i="9"/>
  <c r="DD51" i="9"/>
  <c r="O75" i="9"/>
  <c r="CJ40" i="9"/>
  <c r="V28" i="9"/>
  <c r="AC32" i="9"/>
  <c r="AC55" i="9" s="1"/>
  <c r="W38" i="9"/>
  <c r="W61" i="9" s="1"/>
  <c r="K97" i="9"/>
  <c r="CF44" i="9"/>
  <c r="AE36" i="9"/>
  <c r="AE59" i="9" s="1"/>
  <c r="AH118" i="9"/>
  <c r="DC48" i="9"/>
  <c r="DB43" i="9"/>
  <c r="AG78" i="9"/>
  <c r="AM30" i="16"/>
  <c r="AQ26" i="16"/>
  <c r="AQ27" i="16" s="1"/>
  <c r="AC77" i="9"/>
  <c r="CX42" i="9"/>
  <c r="CX86" i="9" s="1"/>
  <c r="Y32" i="9"/>
  <c r="Y55" i="9" s="1"/>
  <c r="N78" i="9"/>
  <c r="CI43" i="9"/>
  <c r="CI87" i="9" s="1"/>
  <c r="AG15" i="17" s="1"/>
  <c r="AC37" i="17" s="1"/>
  <c r="AC57" i="17" s="1"/>
  <c r="U38" i="9"/>
  <c r="U61" i="9" s="1"/>
  <c r="DD40" i="9"/>
  <c r="AI75" i="9"/>
  <c r="AH121" i="9"/>
  <c r="DC51" i="9"/>
  <c r="Y150" i="9"/>
  <c r="CT53" i="9"/>
  <c r="R32" i="9"/>
  <c r="R55" i="9" s="1"/>
  <c r="Y33" i="9"/>
  <c r="Y56" i="9" s="1"/>
  <c r="R37" i="9"/>
  <c r="R60" i="9" s="1"/>
  <c r="AE98" i="9"/>
  <c r="CZ45" i="9"/>
  <c r="AZ30" i="16"/>
  <c r="AT30" i="16"/>
  <c r="AX26" i="16"/>
  <c r="AX27" i="16" s="1"/>
  <c r="DD43" i="9"/>
  <c r="AI78" i="9"/>
  <c r="AC28" i="9"/>
  <c r="S99" i="9"/>
  <c r="CN46" i="9"/>
  <c r="AE120" i="9"/>
  <c r="CZ50" i="9"/>
  <c r="CF46" i="9"/>
  <c r="K99" i="9"/>
  <c r="Y120" i="9"/>
  <c r="CT50" i="9"/>
  <c r="Q98" i="9"/>
  <c r="AA150" i="9"/>
  <c r="CV53" i="9"/>
  <c r="V44" i="9"/>
  <c r="V67" i="9" s="1"/>
  <c r="AH75" i="9"/>
  <c r="DC40" i="9"/>
  <c r="AE99" i="9"/>
  <c r="CZ46" i="9"/>
  <c r="Z32" i="9"/>
  <c r="Z55" i="9" s="1"/>
  <c r="S28" i="9"/>
  <c r="N29" i="9"/>
  <c r="N52" i="9" s="1"/>
  <c r="CI37" i="9" s="1"/>
  <c r="AQ30" i="16"/>
  <c r="AU26" i="16"/>
  <c r="AU27" i="16" s="1"/>
  <c r="W41" i="9"/>
  <c r="W64" i="9" s="1"/>
  <c r="CF42" i="9"/>
  <c r="CF86" i="9" s="1"/>
  <c r="K77" i="9"/>
  <c r="W45" i="9"/>
  <c r="W68" i="9" s="1"/>
  <c r="Z28" i="9"/>
  <c r="AD40" i="9"/>
  <c r="AD63" i="9" s="1"/>
  <c r="U32" i="9"/>
  <c r="U55" i="9" s="1"/>
  <c r="AH78" i="9"/>
  <c r="DC43" i="9"/>
  <c r="Q28" i="9"/>
  <c r="CX49" i="9"/>
  <c r="AC119" i="9"/>
  <c r="AC36" i="9"/>
  <c r="AC59" i="9" s="1"/>
  <c r="O77" i="9"/>
  <c r="CJ42" i="9"/>
  <c r="CJ86" i="9" s="1"/>
  <c r="L75" i="9"/>
  <c r="CG40" i="9"/>
  <c r="Y34" i="9"/>
  <c r="Y57" i="9" s="1"/>
  <c r="O29" i="9"/>
  <c r="O52" i="9" s="1"/>
  <c r="CJ37" i="9" s="1"/>
  <c r="W36" i="9"/>
  <c r="W59" i="9" s="1"/>
  <c r="AR30" i="16"/>
  <c r="AV26" i="16"/>
  <c r="AV27" i="16" s="1"/>
  <c r="N31" i="9"/>
  <c r="N54" i="9" s="1"/>
  <c r="AC33" i="16"/>
  <c r="AG26" i="16"/>
  <c r="AG27" i="16" s="1"/>
  <c r="S42" i="9"/>
  <c r="S65" i="9" s="1"/>
  <c r="U46" i="16"/>
  <c r="U128" i="16" s="1"/>
  <c r="S46" i="16"/>
  <c r="S128" i="16" s="1"/>
  <c r="O46" i="16"/>
  <c r="O128" i="16" s="1"/>
  <c r="T46" i="16"/>
  <c r="T128" i="16" s="1"/>
  <c r="P46" i="16"/>
  <c r="P128" i="16" s="1"/>
  <c r="Q46" i="16"/>
  <c r="Q128" i="16" s="1"/>
  <c r="N46" i="16"/>
  <c r="N128" i="16" s="1"/>
  <c r="X46" i="16"/>
  <c r="X128" i="16" s="1"/>
  <c r="V46" i="16"/>
  <c r="V128" i="16" s="1"/>
  <c r="W46" i="16"/>
  <c r="W128" i="16" s="1"/>
  <c r="R46" i="16"/>
  <c r="R128" i="16" s="1"/>
  <c r="I46" i="16"/>
  <c r="I128" i="16" s="1"/>
  <c r="G46" i="16"/>
  <c r="G128" i="16" s="1"/>
  <c r="H46" i="16"/>
  <c r="H128" i="16" s="1"/>
  <c r="J46" i="16"/>
  <c r="J128" i="16" s="1"/>
  <c r="L46" i="16"/>
  <c r="L128" i="16" s="1"/>
  <c r="K46" i="16"/>
  <c r="K128" i="16" s="1"/>
  <c r="M46" i="16"/>
  <c r="M128" i="16" s="1"/>
  <c r="X42" i="16"/>
  <c r="X97" i="16" s="1"/>
  <c r="P42" i="16"/>
  <c r="P97" i="16" s="1"/>
  <c r="W42" i="16"/>
  <c r="W97" i="16" s="1"/>
  <c r="O42" i="16"/>
  <c r="O97" i="16" s="1"/>
  <c r="T42" i="16"/>
  <c r="T97" i="16" s="1"/>
  <c r="R42" i="16"/>
  <c r="R97" i="16" s="1"/>
  <c r="U42" i="16"/>
  <c r="U97" i="16" s="1"/>
  <c r="S42" i="16"/>
  <c r="S97" i="16" s="1"/>
  <c r="V42" i="16"/>
  <c r="V97" i="16" s="1"/>
  <c r="Q42" i="16"/>
  <c r="Q97" i="16" s="1"/>
  <c r="N42" i="16"/>
  <c r="N97" i="16" s="1"/>
  <c r="I42" i="16"/>
  <c r="I97" i="16" s="1"/>
  <c r="M42" i="16"/>
  <c r="M97" i="16" s="1"/>
  <c r="L42" i="16"/>
  <c r="L97" i="16" s="1"/>
  <c r="H42" i="16"/>
  <c r="H97" i="16" s="1"/>
  <c r="G42" i="16"/>
  <c r="G97" i="16" s="1"/>
  <c r="J42" i="16"/>
  <c r="J97" i="16" s="1"/>
  <c r="K42" i="16"/>
  <c r="K97" i="16" s="1"/>
  <c r="O31" i="9"/>
  <c r="O54" i="9" s="1"/>
  <c r="Y33" i="16"/>
  <c r="AC26" i="16"/>
  <c r="AC27" i="16" s="1"/>
  <c r="CL39" i="9"/>
  <c r="N44" i="16"/>
  <c r="N99" i="16" s="1"/>
  <c r="P44" i="16"/>
  <c r="P99" i="16" s="1"/>
  <c r="R44" i="16"/>
  <c r="R99" i="16" s="1"/>
  <c r="X44" i="16"/>
  <c r="X99" i="16" s="1"/>
  <c r="T44" i="16"/>
  <c r="T99" i="16" s="1"/>
  <c r="Q44" i="16"/>
  <c r="Q99" i="16" s="1"/>
  <c r="U44" i="16"/>
  <c r="U99" i="16" s="1"/>
  <c r="W44" i="16"/>
  <c r="W99" i="16" s="1"/>
  <c r="O44" i="16"/>
  <c r="O99" i="16" s="1"/>
  <c r="S44" i="16"/>
  <c r="S99" i="16" s="1"/>
  <c r="V44" i="16"/>
  <c r="V99" i="16" s="1"/>
  <c r="G44" i="16"/>
  <c r="G99" i="16" s="1"/>
  <c r="M44" i="16"/>
  <c r="M99" i="16" s="1"/>
  <c r="H44" i="16"/>
  <c r="H99" i="16" s="1"/>
  <c r="K44" i="16"/>
  <c r="K99" i="16" s="1"/>
  <c r="I44" i="16"/>
  <c r="I99" i="16" s="1"/>
  <c r="J44" i="16"/>
  <c r="J99" i="16" s="1"/>
  <c r="L44" i="16"/>
  <c r="L99" i="16" s="1"/>
  <c r="AD33" i="16"/>
  <c r="AH26" i="16"/>
  <c r="AH27" i="16" s="1"/>
  <c r="O47" i="16"/>
  <c r="O129" i="16" s="1"/>
  <c r="T47" i="16"/>
  <c r="T129" i="16" s="1"/>
  <c r="P47" i="16"/>
  <c r="P129" i="16" s="1"/>
  <c r="Q47" i="16"/>
  <c r="Q129" i="16" s="1"/>
  <c r="U47" i="16"/>
  <c r="U129" i="16" s="1"/>
  <c r="V47" i="16"/>
  <c r="V129" i="16" s="1"/>
  <c r="S47" i="16"/>
  <c r="S129" i="16" s="1"/>
  <c r="X47" i="16"/>
  <c r="X129" i="16" s="1"/>
  <c r="W47" i="16"/>
  <c r="W129" i="16" s="1"/>
  <c r="R47" i="16"/>
  <c r="R129" i="16" s="1"/>
  <c r="N47" i="16"/>
  <c r="N129" i="16" s="1"/>
  <c r="M47" i="16"/>
  <c r="M129" i="16" s="1"/>
  <c r="J47" i="16"/>
  <c r="J129" i="16" s="1"/>
  <c r="L47" i="16"/>
  <c r="L129" i="16" s="1"/>
  <c r="G47" i="16"/>
  <c r="G129" i="16" s="1"/>
  <c r="K47" i="16"/>
  <c r="K129" i="16" s="1"/>
  <c r="H47" i="16"/>
  <c r="H129" i="16" s="1"/>
  <c r="I47" i="16"/>
  <c r="I129" i="16" s="1"/>
  <c r="AF33" i="16"/>
  <c r="AJ26" i="16"/>
  <c r="AJ27" i="16" s="1"/>
  <c r="CN39" i="9"/>
  <c r="S39" i="9"/>
  <c r="S62" i="9" s="1"/>
  <c r="S33" i="9"/>
  <c r="S56" i="9" s="1"/>
  <c r="L31" i="9"/>
  <c r="L54" i="9" s="1"/>
  <c r="S43" i="9"/>
  <c r="S66" i="9" s="1"/>
  <c r="AA33" i="16"/>
  <c r="AE26" i="16"/>
  <c r="AE27" i="16" s="1"/>
  <c r="CM39" i="9"/>
  <c r="AE33" i="16"/>
  <c r="AI26" i="16"/>
  <c r="AI27" i="16" s="1"/>
  <c r="AG33" i="16"/>
  <c r="AK26" i="16"/>
  <c r="AK27" i="16" s="1"/>
  <c r="X41" i="16"/>
  <c r="X79" i="16" s="1"/>
  <c r="P41" i="16"/>
  <c r="P79" i="16" s="1"/>
  <c r="O41" i="16"/>
  <c r="O79" i="16" s="1"/>
  <c r="U41" i="16"/>
  <c r="U79" i="16" s="1"/>
  <c r="V41" i="16"/>
  <c r="V79" i="16" s="1"/>
  <c r="T41" i="16"/>
  <c r="T79" i="16" s="1"/>
  <c r="R41" i="16"/>
  <c r="R79" i="16" s="1"/>
  <c r="S41" i="16"/>
  <c r="S79" i="16" s="1"/>
  <c r="W41" i="16"/>
  <c r="W79" i="16" s="1"/>
  <c r="Q41" i="16"/>
  <c r="Q79" i="16" s="1"/>
  <c r="N41" i="16"/>
  <c r="N79" i="16" s="1"/>
  <c r="J41" i="16"/>
  <c r="J79" i="16" s="1"/>
  <c r="H41" i="16"/>
  <c r="H79" i="16" s="1"/>
  <c r="G41" i="16"/>
  <c r="G79" i="16" s="1"/>
  <c r="L41" i="16"/>
  <c r="L79" i="16" s="1"/>
  <c r="K41" i="16"/>
  <c r="K79" i="16" s="1"/>
  <c r="I41" i="16"/>
  <c r="I79" i="16" s="1"/>
  <c r="M41" i="16"/>
  <c r="M79" i="16" s="1"/>
  <c r="V45" i="16"/>
  <c r="V100" i="16" s="1"/>
  <c r="S45" i="16"/>
  <c r="S100" i="16" s="1"/>
  <c r="Q45" i="16"/>
  <c r="Q100" i="16" s="1"/>
  <c r="W45" i="16"/>
  <c r="W100" i="16" s="1"/>
  <c r="R45" i="16"/>
  <c r="R100" i="16" s="1"/>
  <c r="P45" i="16"/>
  <c r="P100" i="16" s="1"/>
  <c r="X45" i="16"/>
  <c r="X100" i="16" s="1"/>
  <c r="N45" i="16"/>
  <c r="N100" i="16" s="1"/>
  <c r="T45" i="16"/>
  <c r="T100" i="16" s="1"/>
  <c r="U45" i="16"/>
  <c r="U100" i="16" s="1"/>
  <c r="O45" i="16"/>
  <c r="O100" i="16" s="1"/>
  <c r="I45" i="16"/>
  <c r="I100" i="16" s="1"/>
  <c r="G45" i="16"/>
  <c r="G100" i="16" s="1"/>
  <c r="M45" i="16"/>
  <c r="M100" i="16" s="1"/>
  <c r="K45" i="16"/>
  <c r="K100" i="16" s="1"/>
  <c r="H45" i="16"/>
  <c r="H100" i="16" s="1"/>
  <c r="L45" i="16"/>
  <c r="L100" i="16" s="1"/>
  <c r="J45" i="16"/>
  <c r="J100" i="16" s="1"/>
  <c r="CF39" i="9"/>
  <c r="AB33" i="16"/>
  <c r="AF26" i="16"/>
  <c r="AF27" i="16" s="1"/>
  <c r="AB26" i="16"/>
  <c r="AB27" i="16" s="1"/>
  <c r="Z11" i="16"/>
  <c r="N42" i="9"/>
  <c r="N65" i="9" s="1"/>
  <c r="Z33" i="16"/>
  <c r="AD26" i="16"/>
  <c r="AD27" i="16" s="1"/>
  <c r="J35" i="16"/>
  <c r="J55" i="16" s="1"/>
  <c r="S35" i="16"/>
  <c r="S55" i="16" s="1"/>
  <c r="T35" i="16"/>
  <c r="T55" i="16" s="1"/>
  <c r="Q35" i="16"/>
  <c r="Q55" i="16" s="1"/>
  <c r="V35" i="16"/>
  <c r="V55" i="16" s="1"/>
  <c r="R35" i="16"/>
  <c r="R55" i="16" s="1"/>
  <c r="M35" i="16"/>
  <c r="M55" i="16" s="1"/>
  <c r="N35" i="16"/>
  <c r="N55" i="16" s="1"/>
  <c r="H35" i="16"/>
  <c r="H55" i="16" s="1"/>
  <c r="X35" i="16"/>
  <c r="X55" i="16" s="1"/>
  <c r="L35" i="16"/>
  <c r="L55" i="16" s="1"/>
  <c r="I35" i="16"/>
  <c r="I55" i="16" s="1"/>
  <c r="G35" i="16"/>
  <c r="G55" i="16" s="1"/>
  <c r="K35" i="16"/>
  <c r="K55" i="16" s="1"/>
  <c r="U35" i="16"/>
  <c r="U55" i="16" s="1"/>
  <c r="W35" i="16"/>
  <c r="W55" i="16" s="1"/>
  <c r="O35" i="16"/>
  <c r="O55" i="16" s="1"/>
  <c r="P35" i="16"/>
  <c r="P55" i="16" s="1"/>
  <c r="CQ49" i="9" l="1"/>
  <c r="CR45" i="9"/>
  <c r="CP48" i="9"/>
  <c r="CQ40" i="9"/>
  <c r="U98" i="9"/>
  <c r="AA149" i="9"/>
  <c r="AA118" i="9"/>
  <c r="CP41" i="9"/>
  <c r="S40" i="9"/>
  <c r="S63" i="9" s="1"/>
  <c r="CU50" i="9"/>
  <c r="CZ47" i="9"/>
  <c r="CQ53" i="9"/>
  <c r="CU47" i="9"/>
  <c r="L33" i="9"/>
  <c r="L56" i="9" s="1"/>
  <c r="R41" i="9"/>
  <c r="R64" i="9" s="1"/>
  <c r="S41" i="9"/>
  <c r="S64" i="9" s="1"/>
  <c r="AA75" i="9"/>
  <c r="Y99" i="9"/>
  <c r="O45" i="9"/>
  <c r="O68" i="9" s="1"/>
  <c r="S45" i="9"/>
  <c r="S68" i="9" s="1"/>
  <c r="AX15" i="17"/>
  <c r="AT37" i="17" s="1"/>
  <c r="CZ40" i="9"/>
  <c r="AC150" i="9"/>
  <c r="AA77" i="9"/>
  <c r="CV46" i="9"/>
  <c r="N43" i="9"/>
  <c r="N66" i="9" s="1"/>
  <c r="L44" i="9"/>
  <c r="L67" i="9" s="1"/>
  <c r="L149" i="9" s="1"/>
  <c r="L41" i="9"/>
  <c r="L64" i="9" s="1"/>
  <c r="L119" i="9" s="1"/>
  <c r="V99" i="9"/>
  <c r="AC100" i="9"/>
  <c r="CR43" i="9"/>
  <c r="CR87" i="9" s="1"/>
  <c r="AP15" i="17" s="1"/>
  <c r="AL37" i="17" s="1"/>
  <c r="AL57" i="17" s="1"/>
  <c r="N33" i="9"/>
  <c r="N56" i="9" s="1"/>
  <c r="U149" i="9"/>
  <c r="K33" i="9"/>
  <c r="K56" i="9" s="1"/>
  <c r="K76" i="9" s="1"/>
  <c r="Q41" i="9"/>
  <c r="Q64" i="9" s="1"/>
  <c r="Q119" i="9" s="1"/>
  <c r="N45" i="9"/>
  <c r="N68" i="9" s="1"/>
  <c r="U75" i="9"/>
  <c r="CP40" i="9"/>
  <c r="CP46" i="9"/>
  <c r="U99" i="9"/>
  <c r="CT48" i="9"/>
  <c r="Y118" i="9"/>
  <c r="Y49" i="9"/>
  <c r="Y51" i="9"/>
  <c r="S77" i="9"/>
  <c r="CN42" i="9"/>
  <c r="CN86" i="9" s="1"/>
  <c r="W149" i="9"/>
  <c r="CR52" i="9"/>
  <c r="W75" i="9"/>
  <c r="CR40" i="9"/>
  <c r="AW14" i="17"/>
  <c r="CY98" i="9"/>
  <c r="CR36" i="9"/>
  <c r="W69" i="9"/>
  <c r="CR54" i="9" s="1"/>
  <c r="AD118" i="9"/>
  <c r="CY48" i="9"/>
  <c r="CM45" i="9"/>
  <c r="R98" i="9"/>
  <c r="AA100" i="9"/>
  <c r="CV47" i="9"/>
  <c r="V76" i="9"/>
  <c r="CQ41" i="9"/>
  <c r="AH14" i="17"/>
  <c r="CJ98" i="9"/>
  <c r="Z49" i="9"/>
  <c r="Z51" i="9"/>
  <c r="CT41" i="9"/>
  <c r="Y76" i="9"/>
  <c r="AE97" i="9"/>
  <c r="CZ44" i="9"/>
  <c r="CV36" i="9"/>
  <c r="AA69" i="9"/>
  <c r="CV54" i="9" s="1"/>
  <c r="S78" i="9"/>
  <c r="CN43" i="9"/>
  <c r="CN87" i="9" s="1"/>
  <c r="AL15" i="17" s="1"/>
  <c r="AH37" i="17" s="1"/>
  <c r="AH57" i="17" s="1"/>
  <c r="CN49" i="9"/>
  <c r="S119" i="9"/>
  <c r="CU52" i="9"/>
  <c r="Z149" i="9"/>
  <c r="CQ50" i="9"/>
  <c r="V120" i="9"/>
  <c r="CR53" i="9"/>
  <c r="W150" i="9"/>
  <c r="R75" i="9"/>
  <c r="CM40" i="9"/>
  <c r="AE149" i="9"/>
  <c r="CZ52" i="9"/>
  <c r="K39" i="9"/>
  <c r="K62" i="9" s="1"/>
  <c r="CF47" i="9" s="1"/>
  <c r="V149" i="9"/>
  <c r="CQ52" i="9"/>
  <c r="CU48" i="9"/>
  <c r="Z118" i="9"/>
  <c r="AJ14" i="17"/>
  <c r="CL98" i="9"/>
  <c r="CQ48" i="9"/>
  <c r="V118" i="9"/>
  <c r="AD14" i="17"/>
  <c r="CF98" i="9"/>
  <c r="AC49" i="9"/>
  <c r="AC51" i="9"/>
  <c r="CT40" i="9"/>
  <c r="Y75" i="9"/>
  <c r="W99" i="9"/>
  <c r="CR46" i="9"/>
  <c r="AE49" i="9"/>
  <c r="AE51" i="9"/>
  <c r="Z76" i="9"/>
  <c r="CU41" i="9"/>
  <c r="V78" i="9"/>
  <c r="CQ43" i="9"/>
  <c r="CQ87" i="9" s="1"/>
  <c r="AL26" i="16"/>
  <c r="AL27" i="16" s="1"/>
  <c r="L45" i="9"/>
  <c r="L68" i="9" s="1"/>
  <c r="L150" i="9" s="1"/>
  <c r="CX44" i="9"/>
  <c r="AC97" i="9"/>
  <c r="W119" i="9"/>
  <c r="CR49" i="9"/>
  <c r="AV14" i="17"/>
  <c r="CX98" i="9"/>
  <c r="AC75" i="9"/>
  <c r="CX40" i="9"/>
  <c r="Y78" i="9"/>
  <c r="CT43" i="9"/>
  <c r="CT87" i="9" s="1"/>
  <c r="AR15" i="17" s="1"/>
  <c r="AN37" i="17" s="1"/>
  <c r="AN57" i="17" s="1"/>
  <c r="AP14" i="17"/>
  <c r="CR98" i="9"/>
  <c r="AT14" i="17"/>
  <c r="CV98" i="9"/>
  <c r="O41" i="9"/>
  <c r="O64" i="9" s="1"/>
  <c r="S97" i="9"/>
  <c r="CN44" i="9"/>
  <c r="CQ44" i="9"/>
  <c r="V97" i="9"/>
  <c r="R78" i="9"/>
  <c r="CM43" i="9"/>
  <c r="CM87" i="9" s="1"/>
  <c r="AK15" i="17" s="1"/>
  <c r="AG37" i="17" s="1"/>
  <c r="AG57" i="17" s="1"/>
  <c r="W120" i="9"/>
  <c r="CR50" i="9"/>
  <c r="W97" i="9"/>
  <c r="CR44" i="9"/>
  <c r="V49" i="9"/>
  <c r="V51" i="9"/>
  <c r="U49" i="9"/>
  <c r="U51" i="9"/>
  <c r="AX14" i="17"/>
  <c r="CZ98" i="9"/>
  <c r="AK14" i="17"/>
  <c r="CM98" i="9"/>
  <c r="L39" i="9"/>
  <c r="L62" i="9" s="1"/>
  <c r="CG47" i="9" s="1"/>
  <c r="O44" i="9"/>
  <c r="O67" i="9" s="1"/>
  <c r="CJ52" i="9" s="1"/>
  <c r="U97" i="9"/>
  <c r="CP44" i="9"/>
  <c r="AS14" i="17"/>
  <c r="CT42" i="9"/>
  <c r="CT86" i="9" s="1"/>
  <c r="Y77" i="9"/>
  <c r="Q49" i="9"/>
  <c r="Q51" i="9"/>
  <c r="CL36" i="9" s="1"/>
  <c r="CT44" i="9"/>
  <c r="Y97" i="9"/>
  <c r="K119" i="9"/>
  <c r="CF49" i="9"/>
  <c r="CQ47" i="9"/>
  <c r="V100" i="9"/>
  <c r="K45" i="9"/>
  <c r="K68" i="9" s="1"/>
  <c r="CF53" i="9" s="1"/>
  <c r="S49" i="9"/>
  <c r="S51" i="9"/>
  <c r="CN36" i="9" s="1"/>
  <c r="Y100" i="9"/>
  <c r="CT47" i="9"/>
  <c r="W100" i="9"/>
  <c r="CR47" i="9"/>
  <c r="AG14" i="17"/>
  <c r="CI98" i="9"/>
  <c r="N41" i="9"/>
  <c r="N64" i="9" s="1"/>
  <c r="CP43" i="9"/>
  <c r="CP87" i="9" s="1"/>
  <c r="U78" i="9"/>
  <c r="U150" i="9"/>
  <c r="CP53" i="9"/>
  <c r="S75" i="9"/>
  <c r="CN40" i="9"/>
  <c r="R49" i="9"/>
  <c r="R51" i="9"/>
  <c r="CM36" i="9" s="1"/>
  <c r="Z75" i="9"/>
  <c r="CU40" i="9"/>
  <c r="CM49" i="9"/>
  <c r="R119" i="9"/>
  <c r="CL44" i="9"/>
  <c r="Q97" i="9"/>
  <c r="CY53" i="9"/>
  <c r="AD150" i="9"/>
  <c r="AE14" i="17"/>
  <c r="CG98" i="9"/>
  <c r="U100" i="9"/>
  <c r="CP47" i="9"/>
  <c r="CX50" i="9"/>
  <c r="AC120" i="9"/>
  <c r="CU43" i="9"/>
  <c r="CU87" i="9" s="1"/>
  <c r="AS15" i="17" s="1"/>
  <c r="AO37" i="17" s="1"/>
  <c r="AO57" i="17" s="1"/>
  <c r="Z78" i="9"/>
  <c r="CY36" i="9"/>
  <c r="AD69" i="9"/>
  <c r="CY54" i="9" s="1"/>
  <c r="Z97" i="9"/>
  <c r="CU44" i="9"/>
  <c r="CL40" i="9"/>
  <c r="Q75" i="9"/>
  <c r="CN53" i="9"/>
  <c r="S150" i="9"/>
  <c r="Q42" i="9"/>
  <c r="Q65" i="9" s="1"/>
  <c r="R45" i="9"/>
  <c r="R68" i="9" s="1"/>
  <c r="Q45" i="9"/>
  <c r="Q68" i="9" s="1"/>
  <c r="CI50" i="9"/>
  <c r="N120" i="9"/>
  <c r="S100" i="9"/>
  <c r="CN47" i="9"/>
  <c r="Q43" i="9"/>
  <c r="Q66" i="9" s="1"/>
  <c r="R33" i="9"/>
  <c r="R56" i="9" s="1"/>
  <c r="S118" i="9"/>
  <c r="CN48" i="9"/>
  <c r="CG52" i="9"/>
  <c r="O40" i="9"/>
  <c r="O63" i="9" s="1"/>
  <c r="R44" i="9"/>
  <c r="R67" i="9" s="1"/>
  <c r="S44" i="9"/>
  <c r="S67" i="9" s="1"/>
  <c r="X33" i="16"/>
  <c r="R33" i="16"/>
  <c r="N33" i="16"/>
  <c r="S33" i="16"/>
  <c r="O33" i="16"/>
  <c r="T33" i="16"/>
  <c r="U33" i="16"/>
  <c r="P33" i="16"/>
  <c r="Q33" i="16"/>
  <c r="V33" i="16"/>
  <c r="W33" i="16"/>
  <c r="H33" i="16"/>
  <c r="M33" i="16"/>
  <c r="I33" i="16"/>
  <c r="K33" i="16"/>
  <c r="L33" i="16"/>
  <c r="J33" i="16"/>
  <c r="G33" i="16"/>
  <c r="Q44" i="9"/>
  <c r="Q67" i="9" s="1"/>
  <c r="CN50" i="9"/>
  <c r="S120" i="9"/>
  <c r="Q40" i="9"/>
  <c r="Q63" i="9" s="1"/>
  <c r="S121" i="9"/>
  <c r="CN51" i="9"/>
  <c r="R42" i="9"/>
  <c r="R65" i="9" s="1"/>
  <c r="Q39" i="9"/>
  <c r="Q62" i="9" s="1"/>
  <c r="K44" i="9"/>
  <c r="K67" i="9" s="1"/>
  <c r="K42" i="9"/>
  <c r="K65" i="9" s="1"/>
  <c r="O39" i="9"/>
  <c r="O62" i="9" s="1"/>
  <c r="R40" i="9"/>
  <c r="R63" i="9" s="1"/>
  <c r="L42" i="9"/>
  <c r="L65" i="9" s="1"/>
  <c r="CJ39" i="9"/>
  <c r="N39" i="9"/>
  <c r="N62" i="9" s="1"/>
  <c r="O33" i="9"/>
  <c r="O56" i="9" s="1"/>
  <c r="L76" i="9"/>
  <c r="CG41" i="9"/>
  <c r="O43" i="9"/>
  <c r="O66" i="9" s="1"/>
  <c r="CG39" i="9"/>
  <c r="N44" i="9"/>
  <c r="N67" i="9" s="1"/>
  <c r="N40" i="9"/>
  <c r="N63" i="9" s="1"/>
  <c r="R43" i="9"/>
  <c r="R66" i="9" s="1"/>
  <c r="L40" i="9"/>
  <c r="L63" i="9" s="1"/>
  <c r="R39" i="9"/>
  <c r="R62" i="9" s="1"/>
  <c r="O42" i="9"/>
  <c r="O65" i="9" s="1"/>
  <c r="K40" i="9"/>
  <c r="K63" i="9" s="1"/>
  <c r="CN41" i="9"/>
  <c r="S76" i="9"/>
  <c r="K43" i="9"/>
  <c r="K66" i="9" s="1"/>
  <c r="CI41" i="9"/>
  <c r="N76" i="9"/>
  <c r="L43" i="9"/>
  <c r="L66" i="9" s="1"/>
  <c r="N150" i="9"/>
  <c r="CI53" i="9"/>
  <c r="CJ53" i="9"/>
  <c r="O150" i="9"/>
  <c r="Q33" i="9"/>
  <c r="Q56" i="9" s="1"/>
  <c r="N121" i="9"/>
  <c r="CI51" i="9"/>
  <c r="CI39" i="9"/>
  <c r="BR10" i="16" l="1" a="1"/>
  <c r="BR10" i="16" s="1"/>
  <c r="CG53" i="9"/>
  <c r="DZ40" i="9" a="1"/>
  <c r="CG49" i="9"/>
  <c r="AT57" i="17"/>
  <c r="CF41" i="9"/>
  <c r="K100" i="9"/>
  <c r="CL49" i="9"/>
  <c r="L100" i="9"/>
  <c r="CU98" i="9"/>
  <c r="O149" i="9"/>
  <c r="N69" i="9"/>
  <c r="CI54" i="9" s="1"/>
  <c r="AR14" i="17"/>
  <c r="CT98" i="9"/>
  <c r="CQ36" i="9"/>
  <c r="V69" i="9"/>
  <c r="CQ54" i="9" s="1"/>
  <c r="O119" i="9"/>
  <c r="CJ49" i="9"/>
  <c r="AO36" i="17"/>
  <c r="AO56" i="17" s="1"/>
  <c r="AS26" i="17"/>
  <c r="AS27" i="17" s="1"/>
  <c r="AL14" i="17"/>
  <c r="CN98" i="9"/>
  <c r="K150" i="9"/>
  <c r="AN15" i="17"/>
  <c r="CP98" i="9"/>
  <c r="AP36" i="17"/>
  <c r="AP56" i="17" s="1"/>
  <c r="AT26" i="17"/>
  <c r="AT27" i="17" s="1"/>
  <c r="CI49" i="9"/>
  <c r="N119" i="9"/>
  <c r="AF36" i="17"/>
  <c r="AF56" i="17" s="1"/>
  <c r="AJ26" i="17"/>
  <c r="AJ27" i="17" s="1"/>
  <c r="CT36" i="9"/>
  <c r="Y69" i="9"/>
  <c r="CT54" i="9" s="1"/>
  <c r="AL36" i="17"/>
  <c r="AL56" i="17" s="1"/>
  <c r="AP26" i="17"/>
  <c r="AP27" i="17" s="1"/>
  <c r="AC36" i="17"/>
  <c r="AC56" i="17" s="1"/>
  <c r="AG26" i="17"/>
  <c r="AG27" i="17" s="1"/>
  <c r="AO15" i="17"/>
  <c r="CQ98" i="9"/>
  <c r="CX36" i="9"/>
  <c r="AC69" i="9"/>
  <c r="CX54" i="9" s="1"/>
  <c r="CU36" i="9"/>
  <c r="Z69" i="9"/>
  <c r="CU54" i="9" s="1"/>
  <c r="AG36" i="17"/>
  <c r="AG56" i="17" s="1"/>
  <c r="AK26" i="17"/>
  <c r="AK27" i="17" s="1"/>
  <c r="AD36" i="17"/>
  <c r="AD56" i="17" s="1"/>
  <c r="AH26" i="17"/>
  <c r="AH27" i="17" s="1"/>
  <c r="AS36" i="17"/>
  <c r="AS56" i="17" s="1"/>
  <c r="AW26" i="17"/>
  <c r="AW27" i="17" s="1"/>
  <c r="AT36" i="17"/>
  <c r="AT56" i="17" s="1"/>
  <c r="AX26" i="17"/>
  <c r="AX27" i="17" s="1"/>
  <c r="CZ36" i="9"/>
  <c r="AE69" i="9"/>
  <c r="CZ54" i="9" s="1"/>
  <c r="Z36" i="17"/>
  <c r="AD26" i="17"/>
  <c r="AD27" i="17" s="1"/>
  <c r="AA36" i="17"/>
  <c r="AA56" i="17" s="1"/>
  <c r="AE26" i="17"/>
  <c r="AE27" i="17" s="1"/>
  <c r="CP36" i="9"/>
  <c r="U69" i="9"/>
  <c r="CP54" i="9" s="1"/>
  <c r="AR36" i="17"/>
  <c r="AR56" i="17" s="1"/>
  <c r="AV26" i="17"/>
  <c r="AV27" i="17" s="1"/>
  <c r="K118" i="9"/>
  <c r="CF48" i="9"/>
  <c r="O76" i="9"/>
  <c r="CJ41" i="9"/>
  <c r="O120" i="9"/>
  <c r="CJ50" i="9"/>
  <c r="CM47" i="9"/>
  <c r="R100" i="9"/>
  <c r="O69" i="9"/>
  <c r="CJ54" i="9" s="1"/>
  <c r="R149" i="9"/>
  <c r="CM52" i="9"/>
  <c r="L121" i="9"/>
  <c r="CG51" i="9"/>
  <c r="CI47" i="9"/>
  <c r="N100" i="9"/>
  <c r="S149" i="9"/>
  <c r="CN52" i="9"/>
  <c r="L118" i="9"/>
  <c r="CG48" i="9"/>
  <c r="CL48" i="9"/>
  <c r="Q118" i="9"/>
  <c r="CF51" i="9"/>
  <c r="K121" i="9"/>
  <c r="R121" i="9"/>
  <c r="CM51" i="9"/>
  <c r="CG50" i="9"/>
  <c r="L120" i="9"/>
  <c r="CI48" i="9"/>
  <c r="N118" i="9"/>
  <c r="CM48" i="9"/>
  <c r="R118" i="9"/>
  <c r="CJ48" i="9"/>
  <c r="O118" i="9"/>
  <c r="CI52" i="9"/>
  <c r="N149" i="9"/>
  <c r="O100" i="9"/>
  <c r="CJ47" i="9"/>
  <c r="Q149" i="9"/>
  <c r="CL52" i="9"/>
  <c r="CL53" i="9"/>
  <c r="Q150" i="9"/>
  <c r="Q76" i="9"/>
  <c r="CL41" i="9"/>
  <c r="Q69" i="9"/>
  <c r="CL54" i="9" s="1"/>
  <c r="L69" i="9"/>
  <c r="CG54" i="9" s="1"/>
  <c r="K120" i="9"/>
  <c r="CF50" i="9"/>
  <c r="CM53" i="9"/>
  <c r="R150" i="9"/>
  <c r="K69" i="9"/>
  <c r="CF52" i="9"/>
  <c r="K149" i="9"/>
  <c r="CL50" i="9"/>
  <c r="Q120" i="9"/>
  <c r="CJ51" i="9"/>
  <c r="O121" i="9"/>
  <c r="CL47" i="9"/>
  <c r="Q100" i="9"/>
  <c r="R120" i="9"/>
  <c r="CM50" i="9"/>
  <c r="CM41" i="9"/>
  <c r="R76" i="9"/>
  <c r="R69" i="9"/>
  <c r="CM54" i="9" s="1"/>
  <c r="CL51" i="9"/>
  <c r="Q121" i="9"/>
  <c r="S69" i="9"/>
  <c r="CN54" i="9" s="1"/>
  <c r="CA25" i="16" l="1"/>
  <c r="BU14" i="16"/>
  <c r="CA31" i="16"/>
  <c r="BR33" i="16"/>
  <c r="CE16" i="16"/>
  <c r="BY53" i="16"/>
  <c r="BR41" i="16"/>
  <c r="BX22" i="16"/>
  <c r="BW16" i="16"/>
  <c r="CI22" i="16"/>
  <c r="CI16" i="16"/>
  <c r="BZ26" i="16"/>
  <c r="BZ35" i="16"/>
  <c r="BV18" i="16"/>
  <c r="BT13" i="16"/>
  <c r="CH24" i="16"/>
  <c r="CF34" i="16"/>
  <c r="CI14" i="16"/>
  <c r="BT31" i="16"/>
  <c r="CB25" i="16"/>
  <c r="CI26" i="16"/>
  <c r="BT23" i="16"/>
  <c r="CA45" i="16"/>
  <c r="BW28" i="16"/>
  <c r="BZ57" i="16"/>
  <c r="CF28" i="16"/>
  <c r="BU22" i="16"/>
  <c r="CD11" i="16"/>
  <c r="CF32" i="16"/>
  <c r="CA51" i="16"/>
  <c r="BT39" i="16"/>
  <c r="CD17" i="16"/>
  <c r="CC45" i="16"/>
  <c r="CC49" i="16"/>
  <c r="BW34" i="16"/>
  <c r="CG44" i="16"/>
  <c r="BZ39" i="16"/>
  <c r="CA39" i="16"/>
  <c r="BW22" i="16"/>
  <c r="CE43" i="16"/>
  <c r="CI19" i="16"/>
  <c r="BV21" i="16"/>
  <c r="BT53" i="16"/>
  <c r="CB44" i="16"/>
  <c r="CA36" i="16"/>
  <c r="CI37" i="16"/>
  <c r="BS33" i="16"/>
  <c r="CH27" i="16"/>
  <c r="CI57" i="16"/>
  <c r="CH57" i="16"/>
  <c r="BY44" i="16"/>
  <c r="BX44" i="16"/>
  <c r="CF57" i="16"/>
  <c r="BW45" i="16"/>
  <c r="BX31" i="16"/>
  <c r="BY15" i="16"/>
  <c r="BX45" i="16"/>
  <c r="CE53" i="16"/>
  <c r="CC40" i="16"/>
  <c r="BR26" i="16"/>
  <c r="BR42" i="16"/>
  <c r="CD32" i="16"/>
  <c r="CB48" i="16"/>
  <c r="CE34" i="16"/>
  <c r="BW19" i="16"/>
  <c r="CA52" i="16"/>
  <c r="BW39" i="16"/>
  <c r="CB24" i="16"/>
  <c r="BY36" i="16"/>
  <c r="BX55" i="16"/>
  <c r="CC42" i="16"/>
  <c r="CA28" i="16"/>
  <c r="CA12" i="16"/>
  <c r="BS47" i="16"/>
  <c r="BV33" i="16"/>
  <c r="BY17" i="16"/>
  <c r="BU51" i="16"/>
  <c r="CG37" i="16"/>
  <c r="CD22" i="16"/>
  <c r="CD23" i="16"/>
  <c r="BU32" i="16"/>
  <c r="CB53" i="16"/>
  <c r="BS51" i="16"/>
  <c r="BS11" i="16"/>
  <c r="BX11" i="16"/>
  <c r="CG13" i="16"/>
  <c r="BZ10" i="16"/>
  <c r="BZ41" i="16"/>
  <c r="CF24" i="16"/>
  <c r="BT36" i="16"/>
  <c r="BZ22" i="16"/>
  <c r="BT14" i="16"/>
  <c r="CA53" i="16"/>
  <c r="BW36" i="16"/>
  <c r="BV32" i="16"/>
  <c r="BU36" i="16"/>
  <c r="BU30" i="16"/>
  <c r="CI12" i="16"/>
  <c r="BU48" i="16"/>
  <c r="CH50" i="16"/>
  <c r="CF22" i="16"/>
  <c r="BV14" i="16"/>
  <c r="CD33" i="16"/>
  <c r="BT18" i="16"/>
  <c r="CF37" i="16"/>
  <c r="BV12" i="16"/>
  <c r="BZ55" i="16"/>
  <c r="CA47" i="16"/>
  <c r="BW30" i="16"/>
  <c r="BW35" i="16"/>
  <c r="BR51" i="16"/>
  <c r="BR54" i="16"/>
  <c r="BR50" i="16"/>
  <c r="BS15" i="16"/>
  <c r="BT57" i="16"/>
  <c r="BW33" i="16"/>
  <c r="CI27" i="16"/>
  <c r="CB22" i="16"/>
  <c r="BS55" i="16"/>
  <c r="BR55" i="16"/>
  <c r="CG39" i="16"/>
  <c r="CE39" i="16"/>
  <c r="CD56" i="16"/>
  <c r="BS44" i="16"/>
  <c r="BS30" i="16"/>
  <c r="BS14" i="16"/>
  <c r="CE40" i="16"/>
  <c r="CC52" i="16"/>
  <c r="BY39" i="16"/>
  <c r="CD24" i="16"/>
  <c r="CC38" i="16"/>
  <c r="CE27" i="16"/>
  <c r="BX47" i="16"/>
  <c r="CE33" i="16"/>
  <c r="CI17" i="16"/>
  <c r="BY51" i="16"/>
  <c r="BS38" i="16"/>
  <c r="BV23" i="16"/>
  <c r="CA30" i="16"/>
  <c r="BZ54" i="16"/>
  <c r="BY41" i="16"/>
  <c r="BU27" i="16"/>
  <c r="BU11" i="16"/>
  <c r="CH45" i="16"/>
  <c r="BR32" i="16"/>
  <c r="BS16" i="16"/>
  <c r="BS50" i="16"/>
  <c r="CC36" i="16"/>
  <c r="BX21" i="16"/>
  <c r="BV10" i="16"/>
  <c r="CD19" i="16"/>
  <c r="BW10" i="16"/>
  <c r="CB42" i="16"/>
  <c r="CC32" i="16"/>
  <c r="CC20" i="16"/>
  <c r="BZ56" i="16"/>
  <c r="BZ17" i="16"/>
  <c r="BZ51" i="16"/>
  <c r="BT22" i="16"/>
  <c r="CD13" i="16"/>
  <c r="BW44" i="16"/>
  <c r="CC39" i="16"/>
  <c r="CB19" i="16"/>
  <c r="BU38" i="16"/>
  <c r="CI20" i="16"/>
  <c r="BX18" i="16"/>
  <c r="CF21" i="16"/>
  <c r="BZ15" i="16"/>
  <c r="BV22" i="16"/>
  <c r="BT17" i="16"/>
  <c r="CA41" i="16"/>
  <c r="CF36" i="16"/>
  <c r="BV28" i="16"/>
  <c r="BT16" i="16"/>
  <c r="CA55" i="16"/>
  <c r="BW38" i="16"/>
  <c r="CB30" i="16"/>
  <c r="BY56" i="16"/>
  <c r="BX40" i="16"/>
  <c r="CE46" i="16"/>
  <c r="BS53" i="16"/>
  <c r="BR31" i="16"/>
  <c r="BY28" i="16"/>
  <c r="CC22" i="16"/>
  <c r="BV17" i="16"/>
  <c r="CI51" i="16"/>
  <c r="CH51" i="16"/>
  <c r="BV35" i="16"/>
  <c r="BX36" i="16"/>
  <c r="CF55" i="16"/>
  <c r="BS43" i="16"/>
  <c r="CE28" i="16"/>
  <c r="CE12" i="16"/>
  <c r="CB38" i="16"/>
  <c r="CE51" i="16"/>
  <c r="BY38" i="16"/>
  <c r="BX23" i="16"/>
  <c r="BR34" i="16"/>
  <c r="CE15" i="16"/>
  <c r="BX46" i="16"/>
  <c r="CA32" i="16"/>
  <c r="CC16" i="16"/>
  <c r="CA50" i="16"/>
  <c r="BS37" i="16"/>
  <c r="CH21" i="16"/>
  <c r="BU25" i="16"/>
  <c r="BX53" i="16"/>
  <c r="BY40" i="16"/>
  <c r="CG25" i="16"/>
  <c r="BV57" i="16"/>
  <c r="CD44" i="16"/>
  <c r="CE30" i="16"/>
  <c r="CE14" i="16"/>
  <c r="BU49" i="16"/>
  <c r="BY35" i="16"/>
  <c r="BR20" i="16"/>
  <c r="CB31" i="16"/>
  <c r="CD25" i="16"/>
  <c r="CC37" i="16"/>
  <c r="BS41" i="16"/>
  <c r="CC10" i="16"/>
  <c r="CG41" i="16"/>
  <c r="CA40" i="16"/>
  <c r="CG29" i="16"/>
  <c r="BU50" i="16"/>
  <c r="BZ25" i="16"/>
  <c r="BV34" i="16"/>
  <c r="CG48" i="16"/>
  <c r="BW40" i="16"/>
  <c r="BV56" i="16"/>
  <c r="CI40" i="16"/>
  <c r="BR21" i="16"/>
  <c r="CC53" i="16"/>
  <c r="BV42" i="16"/>
  <c r="BT37" i="16"/>
  <c r="CF45" i="16"/>
  <c r="CA43" i="16"/>
  <c r="CA17" i="16"/>
  <c r="CB55" i="16"/>
  <c r="BW54" i="16"/>
  <c r="BZ45" i="16"/>
  <c r="BT30" i="16"/>
  <c r="CH12" i="16"/>
  <c r="BR29" i="16"/>
  <c r="BT34" i="16"/>
  <c r="CI10" i="16"/>
  <c r="BU46" i="16"/>
  <c r="CI28" i="16"/>
  <c r="BZ34" i="16"/>
  <c r="CF20" i="16"/>
  <c r="BZ31" i="16"/>
  <c r="BV30" i="16"/>
  <c r="BT25" i="16"/>
  <c r="CF10" i="16"/>
  <c r="BU20" i="16"/>
  <c r="CC55" i="16"/>
  <c r="BT24" i="16"/>
  <c r="BX20" i="16"/>
  <c r="BW46" i="16"/>
  <c r="BV25" i="16"/>
  <c r="BU47" i="16"/>
  <c r="CH47" i="16"/>
  <c r="BW43" i="16"/>
  <c r="CD46" i="16"/>
  <c r="BS57" i="16"/>
  <c r="BS23" i="16"/>
  <c r="BW17" i="16"/>
  <c r="CH11" i="16"/>
  <c r="BS49" i="16"/>
  <c r="BR49" i="16"/>
  <c r="CE31" i="16"/>
  <c r="BY31" i="16"/>
  <c r="CD54" i="16"/>
  <c r="CH41" i="16"/>
  <c r="BY27" i="16"/>
  <c r="BY11" i="16"/>
  <c r="BU35" i="16"/>
  <c r="CC50" i="16"/>
  <c r="BV37" i="16"/>
  <c r="BR22" i="16"/>
  <c r="BU29" i="16"/>
  <c r="CD57" i="16"/>
  <c r="BU45" i="16"/>
  <c r="BV31" i="16"/>
  <c r="BW15" i="16"/>
  <c r="BY49" i="16"/>
  <c r="CH35" i="16"/>
  <c r="CB20" i="16"/>
  <c r="BU21" i="16"/>
  <c r="BZ52" i="16"/>
  <c r="BV39" i="16"/>
  <c r="CA24" i="16"/>
  <c r="BX56" i="16"/>
  <c r="CD43" i="16"/>
  <c r="BY29" i="16"/>
  <c r="BY13" i="16"/>
  <c r="BR48" i="16"/>
  <c r="BY34" i="16"/>
  <c r="CD18" i="16"/>
  <c r="CB23" i="16"/>
  <c r="BV44" i="16"/>
  <c r="BZ48" i="16"/>
  <c r="BW14" i="16"/>
  <c r="CI49" i="16"/>
  <c r="CE47" i="16"/>
  <c r="CH25" i="16"/>
  <c r="CA34" i="16"/>
  <c r="BZ43" i="16"/>
  <c r="BW32" i="16"/>
  <c r="BW42" i="16"/>
  <c r="BT35" i="16"/>
  <c r="CI54" i="16"/>
  <c r="BT27" i="16"/>
  <c r="CG10" i="16"/>
  <c r="BV50" i="16"/>
  <c r="BT45" i="16"/>
  <c r="CF16" i="16"/>
  <c r="BW26" i="16"/>
  <c r="CF42" i="16"/>
  <c r="CI48" i="16"/>
  <c r="CH42" i="16"/>
  <c r="CG12" i="16"/>
  <c r="BT38" i="16"/>
  <c r="CH20" i="16"/>
  <c r="CF15" i="16"/>
  <c r="CA49" i="16"/>
  <c r="BR23" i="16"/>
  <c r="BU54" i="16"/>
  <c r="CI36" i="16"/>
  <c r="BR27" i="16"/>
  <c r="BU12" i="16"/>
  <c r="BZ47" i="16"/>
  <c r="BV38" i="16"/>
  <c r="BT33" i="16"/>
  <c r="CI50" i="16"/>
  <c r="BU52" i="16"/>
  <c r="CC19" i="16"/>
  <c r="BT32" i="16"/>
  <c r="CH14" i="16"/>
  <c r="BY10" i="16"/>
  <c r="CH19" i="16"/>
  <c r="BU39" i="16"/>
  <c r="BX35" i="16"/>
  <c r="CE38" i="16"/>
  <c r="BV43" i="16"/>
  <c r="CC30" i="16"/>
  <c r="CE17" i="16"/>
  <c r="CI11" i="16"/>
  <c r="BY54" i="16"/>
  <c r="CD45" i="16"/>
  <c r="BY45" i="16"/>
  <c r="CG27" i="16"/>
  <c r="BS29" i="16"/>
  <c r="CF53" i="16"/>
  <c r="CD40" i="16"/>
  <c r="BS26" i="16"/>
  <c r="BY37" i="16"/>
  <c r="BY30" i="16"/>
  <c r="CE49" i="16"/>
  <c r="BR36" i="16"/>
  <c r="CD20" i="16"/>
  <c r="CA22" i="16"/>
  <c r="CB56" i="16"/>
  <c r="CI43" i="16"/>
  <c r="CI29" i="16"/>
  <c r="CI13" i="16"/>
  <c r="CA48" i="16"/>
  <c r="CD34" i="16"/>
  <c r="BV19" i="16"/>
  <c r="CA14" i="16"/>
  <c r="BX51" i="16"/>
  <c r="BR38" i="16"/>
  <c r="BU23" i="16"/>
  <c r="BV55" i="16"/>
  <c r="CA42" i="16"/>
  <c r="BS28" i="16"/>
  <c r="BS12" i="16"/>
  <c r="BR47" i="16"/>
  <c r="BU33" i="16"/>
  <c r="BX17" i="16"/>
  <c r="BV52" i="16"/>
  <c r="BS52" i="16"/>
  <c r="BW24" i="16"/>
  <c r="BT29" i="16"/>
  <c r="CF11" i="16"/>
  <c r="CA33" i="16"/>
  <c r="BZ12" i="16"/>
  <c r="CC47" i="16"/>
  <c r="CG18" i="16"/>
  <c r="CI46" i="16"/>
  <c r="BX24" i="16"/>
  <c r="BU56" i="16"/>
  <c r="BR11" i="16"/>
  <c r="BU42" i="16"/>
  <c r="BS10" i="16"/>
  <c r="BW18" i="16"/>
  <c r="CG36" i="16"/>
  <c r="BT46" i="16"/>
  <c r="CH28" i="16"/>
  <c r="CF23" i="16"/>
  <c r="CF26" i="16"/>
  <c r="BZ13" i="16"/>
  <c r="CD15" i="16"/>
  <c r="CI44" i="16"/>
  <c r="BV24" i="16"/>
  <c r="BU44" i="16"/>
  <c r="BR19" i="16"/>
  <c r="BV46" i="16"/>
  <c r="BT41" i="16"/>
  <c r="BX30" i="16"/>
  <c r="CB27" i="16"/>
  <c r="CC35" i="16"/>
  <c r="BT40" i="16"/>
  <c r="CH22" i="16"/>
  <c r="CF17" i="16"/>
  <c r="CB14" i="16"/>
  <c r="CB34" i="16"/>
  <c r="BW25" i="16"/>
  <c r="BX34" i="16"/>
  <c r="CD38" i="16"/>
  <c r="CH53" i="16"/>
  <c r="BY12" i="16"/>
  <c r="BT55" i="16"/>
  <c r="CG31" i="16"/>
  <c r="BX41" i="16"/>
  <c r="BU41" i="16"/>
  <c r="CG23" i="16"/>
  <c r="BS25" i="16"/>
  <c r="CD52" i="16"/>
  <c r="CD39" i="16"/>
  <c r="CE24" i="16"/>
  <c r="CE32" i="16"/>
  <c r="BY26" i="16"/>
  <c r="CC48" i="16"/>
  <c r="BR35" i="16"/>
  <c r="BX19" i="16"/>
  <c r="CG11" i="16"/>
  <c r="CD55" i="16"/>
  <c r="CE42" i="16"/>
  <c r="CC28" i="16"/>
  <c r="CC12" i="16"/>
  <c r="BW47" i="16"/>
  <c r="BY33" i="16"/>
  <c r="CH17" i="16"/>
  <c r="CE56" i="16"/>
  <c r="BZ50" i="16"/>
  <c r="BR37" i="16"/>
  <c r="CG21" i="16"/>
  <c r="BX54" i="16"/>
  <c r="BW41" i="16"/>
  <c r="CE26" i="16"/>
  <c r="CE10" i="16"/>
  <c r="CG45" i="16"/>
  <c r="CI31" i="16"/>
  <c r="BR16" i="16"/>
  <c r="BZ27" i="16"/>
  <c r="CA37" i="16"/>
  <c r="BV48" i="16"/>
  <c r="BX48" i="16"/>
  <c r="CC54" i="16"/>
  <c r="CE18" i="16"/>
  <c r="BV26" i="16"/>
  <c r="BU40" i="16"/>
  <c r="CH16" i="16"/>
  <c r="CF19" i="16"/>
  <c r="BU18" i="16"/>
  <c r="BZ20" i="16"/>
  <c r="CF18" i="16"/>
  <c r="CG26" i="16"/>
  <c r="BX28" i="16"/>
  <c r="CB15" i="16"/>
  <c r="CI38" i="16"/>
  <c r="CB43" i="16"/>
  <c r="BW56" i="16"/>
  <c r="CG16" i="16"/>
  <c r="CF29" i="16"/>
  <c r="BX10" i="16"/>
  <c r="BT54" i="16"/>
  <c r="CH36" i="16"/>
  <c r="CF31" i="16"/>
  <c r="BW48" i="16"/>
  <c r="BR13" i="16"/>
  <c r="CB13" i="16"/>
  <c r="CD31" i="16"/>
  <c r="CC31" i="16"/>
  <c r="CB35" i="16"/>
  <c r="CG14" i="16"/>
  <c r="BV54" i="16"/>
  <c r="CA10" i="16"/>
  <c r="BT12" i="16"/>
  <c r="CI52" i="16"/>
  <c r="BT15" i="16"/>
  <c r="BT48" i="16"/>
  <c r="CH30" i="16"/>
  <c r="CF25" i="16"/>
  <c r="CE44" i="16"/>
  <c r="CE29" i="16"/>
  <c r="BR57" i="16"/>
  <c r="BW29" i="16"/>
  <c r="BS34" i="16"/>
  <c r="CI55" i="16"/>
  <c r="BW55" i="16"/>
  <c r="BR52" i="16"/>
  <c r="BT51" i="16"/>
  <c r="CE36" i="16"/>
  <c r="CB36" i="16"/>
  <c r="CG19" i="16"/>
  <c r="CE23" i="16"/>
  <c r="CF51" i="16"/>
  <c r="CA38" i="16"/>
  <c r="BY23" i="16"/>
  <c r="CA26" i="16"/>
  <c r="BY22" i="16"/>
  <c r="BY47" i="16"/>
  <c r="CG33" i="16"/>
  <c r="BR18" i="16"/>
  <c r="CG55" i="16"/>
  <c r="CB54" i="16"/>
  <c r="CE41" i="16"/>
  <c r="BW27" i="16"/>
  <c r="BW11" i="16"/>
  <c r="BS46" i="16"/>
  <c r="BY32" i="16"/>
  <c r="CB16" i="16"/>
  <c r="CE50" i="16"/>
  <c r="BX49" i="16"/>
  <c r="CG35" i="16"/>
  <c r="CA20" i="16"/>
  <c r="BV53" i="16"/>
  <c r="BS40" i="16"/>
  <c r="BY25" i="16"/>
  <c r="BU57" i="16"/>
  <c r="CC44" i="16"/>
  <c r="CD30" i="16"/>
  <c r="CD14" i="16"/>
  <c r="BX12" i="16"/>
  <c r="BZ18" i="16"/>
  <c r="BZ23" i="16"/>
  <c r="CE37" i="16"/>
  <c r="CA46" i="16"/>
  <c r="CD49" i="16"/>
  <c r="CG43" i="16"/>
  <c r="BT21" i="16"/>
  <c r="BT43" i="16"/>
  <c r="CC15" i="16"/>
  <c r="CH32" i="16"/>
  <c r="CF27" i="16"/>
  <c r="CB17" i="16"/>
  <c r="BZ28" i="16"/>
  <c r="BU26" i="16"/>
  <c r="CG34" i="16"/>
  <c r="CC17" i="16"/>
  <c r="CI30" i="16"/>
  <c r="BZ49" i="16"/>
  <c r="CI34" i="16"/>
  <c r="CH26" i="16"/>
  <c r="BV40" i="16"/>
  <c r="CF12" i="16"/>
  <c r="BV36" i="16"/>
  <c r="BR15" i="16"/>
  <c r="CH44" i="16"/>
  <c r="CF39" i="16"/>
  <c r="BT20" i="16"/>
  <c r="BV20" i="16"/>
  <c r="CB21" i="16"/>
  <c r="BZ16" i="16"/>
  <c r="BT50" i="16"/>
  <c r="CI42" i="16"/>
  <c r="CG22" i="16"/>
  <c r="BX14" i="16"/>
  <c r="CF56" i="16"/>
  <c r="BT44" i="16"/>
  <c r="CI18" i="16"/>
  <c r="BT47" i="16"/>
  <c r="BT56" i="16"/>
  <c r="CH38" i="16"/>
  <c r="CF33" i="16"/>
  <c r="CH15" i="16"/>
  <c r="BY24" i="16"/>
  <c r="CH39" i="16"/>
  <c r="CI23" i="16"/>
  <c r="BV29" i="16"/>
  <c r="CH55" i="16"/>
  <c r="BY52" i="16"/>
  <c r="BT49" i="16"/>
  <c r="BY20" i="16"/>
  <c r="BS32" i="16"/>
  <c r="CH31" i="16"/>
  <c r="BU17" i="16"/>
  <c r="BS21" i="16"/>
  <c r="CD50" i="16"/>
  <c r="BW37" i="16"/>
  <c r="BS22" i="16"/>
  <c r="CA18" i="16"/>
  <c r="BS13" i="16"/>
  <c r="BY46" i="16"/>
  <c r="CB32" i="16"/>
  <c r="CD16" i="16"/>
  <c r="CE52" i="16"/>
  <c r="CD53" i="16"/>
  <c r="CB40" i="16"/>
  <c r="CI25" i="16"/>
  <c r="BY57" i="16"/>
  <c r="BS45" i="16"/>
  <c r="BU31" i="16"/>
  <c r="BV15" i="16"/>
  <c r="BU43" i="16"/>
  <c r="BY48" i="16"/>
  <c r="CC34" i="16"/>
  <c r="BU19" i="16"/>
  <c r="BX52" i="16"/>
  <c r="BS39" i="16"/>
  <c r="BS24" i="16"/>
  <c r="BS56" i="16"/>
  <c r="BY43" i="16"/>
  <c r="BX29" i="16"/>
  <c r="BX13" i="16"/>
  <c r="CF40" i="16"/>
  <c r="CD29" i="16"/>
  <c r="BW20" i="16"/>
  <c r="CG20" i="16"/>
  <c r="CB26" i="16"/>
  <c r="CE48" i="16"/>
  <c r="BX37" i="16"/>
  <c r="BS48" i="16"/>
  <c r="CI24" i="16"/>
  <c r="CG32" i="16"/>
  <c r="CA27" i="16"/>
  <c r="BT26" i="16"/>
  <c r="CH40" i="16"/>
  <c r="CF35" i="16"/>
  <c r="CB41" i="16"/>
  <c r="BZ36" i="16"/>
  <c r="CB33" i="16"/>
  <c r="CG42" i="16"/>
  <c r="CC25" i="16"/>
  <c r="BZ33" i="16"/>
  <c r="BR25" i="16"/>
  <c r="BZ30" i="16"/>
  <c r="CF13" i="16"/>
  <c r="BT11" i="16"/>
  <c r="CF44" i="16"/>
  <c r="CC11" i="16"/>
  <c r="CA13" i="16"/>
  <c r="CH52" i="16"/>
  <c r="CF47" i="16"/>
  <c r="CA11" i="16"/>
  <c r="CF46" i="16"/>
  <c r="CB29" i="16"/>
  <c r="BZ24" i="16"/>
  <c r="CA57" i="16"/>
  <c r="BZ37" i="16"/>
  <c r="CG30" i="16"/>
  <c r="CC13" i="16"/>
  <c r="CB39" i="16"/>
  <c r="CA19" i="16"/>
  <c r="BZ14" i="16"/>
  <c r="CF14" i="16"/>
  <c r="CD21" i="16"/>
  <c r="CH46" i="16"/>
  <c r="CF41" i="16"/>
  <c r="CI47" i="16"/>
  <c r="BS19" i="16"/>
  <c r="BW53" i="16"/>
  <c r="CC18" i="16"/>
  <c r="CH23" i="16"/>
  <c r="BR53" i="16"/>
  <c r="BW49" i="16"/>
  <c r="CE45" i="16"/>
  <c r="CA44" i="16"/>
  <c r="BS27" i="16"/>
  <c r="CC26" i="16"/>
  <c r="CG15" i="16"/>
  <c r="CE19" i="16"/>
  <c r="CF49" i="16"/>
  <c r="BS36" i="16"/>
  <c r="CE20" i="16"/>
  <c r="BU13" i="16"/>
  <c r="CE57" i="16"/>
  <c r="BV45" i="16"/>
  <c r="BW31" i="16"/>
  <c r="BX15" i="16"/>
  <c r="CG49" i="16"/>
  <c r="CB52" i="16"/>
  <c r="BX39" i="16"/>
  <c r="CC24" i="16"/>
  <c r="CA56" i="16"/>
  <c r="CH43" i="16"/>
  <c r="CH29" i="16"/>
  <c r="CH13" i="16"/>
  <c r="CI33" i="16"/>
  <c r="BV47" i="16"/>
  <c r="BX33" i="16"/>
  <c r="CG17" i="16"/>
  <c r="BV51" i="16"/>
  <c r="CH37" i="16"/>
  <c r="CE22" i="16"/>
  <c r="BU55" i="16"/>
  <c r="BY42" i="16"/>
  <c r="BR28" i="16"/>
  <c r="BR12" i="16"/>
  <c r="BX26" i="16"/>
  <c r="BU10" i="16"/>
  <c r="BT52" i="16"/>
  <c r="BR56" i="16"/>
  <c r="BX27" i="16"/>
  <c r="BR39" i="16"/>
  <c r="CA35" i="16"/>
  <c r="CG56" i="16"/>
  <c r="BZ29" i="16"/>
  <c r="CH48" i="16"/>
  <c r="CF43" i="16"/>
  <c r="CB49" i="16"/>
  <c r="BZ44" i="16"/>
  <c r="BZ11" i="16"/>
  <c r="CG50" i="16"/>
  <c r="CC33" i="16"/>
  <c r="BV16" i="16"/>
  <c r="CC23" i="16"/>
  <c r="BZ38" i="16"/>
  <c r="CF52" i="16"/>
  <c r="BT42" i="16"/>
  <c r="BU28" i="16"/>
  <c r="CC27" i="16"/>
  <c r="CA21" i="16"/>
  <c r="CC57" i="16"/>
  <c r="BU24" i="16"/>
  <c r="CH18" i="16"/>
  <c r="CF54" i="16"/>
  <c r="CB37" i="16"/>
  <c r="BZ32" i="16"/>
  <c r="CF50" i="16"/>
  <c r="CG28" i="16"/>
  <c r="CG38" i="16"/>
  <c r="CC21" i="16"/>
  <c r="BZ42" i="16"/>
  <c r="CH10" i="16"/>
  <c r="BZ21" i="16"/>
  <c r="CF30" i="16"/>
  <c r="CA15" i="16"/>
  <c r="CH54" i="16"/>
  <c r="CB10" i="16"/>
  <c r="CE25" i="16"/>
  <c r="CE13" i="16"/>
  <c r="BY50" i="16"/>
  <c r="BW13" i="16"/>
  <c r="CB18" i="16"/>
  <c r="CH49" i="16"/>
  <c r="CI45" i="16"/>
  <c r="BS42" i="16"/>
  <c r="CC14" i="16"/>
  <c r="CE21" i="16"/>
  <c r="BW21" i="16"/>
  <c r="CG57" i="16"/>
  <c r="BY18" i="16"/>
  <c r="CD48" i="16"/>
  <c r="BS35" i="16"/>
  <c r="BY19" i="16"/>
  <c r="CE54" i="16"/>
  <c r="CC56" i="16"/>
  <c r="BR44" i="16"/>
  <c r="BR30" i="16"/>
  <c r="BR14" i="16"/>
  <c r="CB46" i="16"/>
  <c r="CD51" i="16"/>
  <c r="BX38" i="16"/>
  <c r="BW23" i="16"/>
  <c r="BY55" i="16"/>
  <c r="CD42" i="16"/>
  <c r="CB28" i="16"/>
  <c r="CB12" i="16"/>
  <c r="BY14" i="16"/>
  <c r="BR46" i="16"/>
  <c r="BX32" i="16"/>
  <c r="CA16" i="16"/>
  <c r="BX50" i="16"/>
  <c r="CD36" i="16"/>
  <c r="BY21" i="16"/>
  <c r="BS54" i="16"/>
  <c r="BV41" i="16"/>
  <c r="CD26" i="16"/>
  <c r="CD10" i="16"/>
  <c r="CB51" i="16"/>
  <c r="CG54" i="16"/>
  <c r="CI39" i="16"/>
  <c r="CE11" i="16"/>
  <c r="CI35" i="16"/>
  <c r="BR24" i="16"/>
  <c r="CG40" i="16"/>
  <c r="CI32" i="16"/>
  <c r="BT28" i="16"/>
  <c r="BW52" i="16"/>
  <c r="CH56" i="16"/>
  <c r="BU16" i="16"/>
  <c r="CB57" i="16"/>
  <c r="CF48" i="16"/>
  <c r="BZ19" i="16"/>
  <c r="CC51" i="16"/>
  <c r="CC41" i="16"/>
  <c r="BT19" i="16"/>
  <c r="BT10" i="16"/>
  <c r="BZ46" i="16"/>
  <c r="CI56" i="16"/>
  <c r="CD27" i="16"/>
  <c r="CB11" i="16"/>
  <c r="CC43" i="16"/>
  <c r="CA29" i="16"/>
  <c r="BW12" i="16"/>
  <c r="CB47" i="16"/>
  <c r="BW50" i="16"/>
  <c r="BR17" i="16"/>
  <c r="CB45" i="16"/>
  <c r="BZ40" i="16"/>
  <c r="BU34" i="16"/>
  <c r="CG52" i="16"/>
  <c r="CG46" i="16"/>
  <c r="CC29" i="16"/>
  <c r="CG24" i="16"/>
  <c r="CH34" i="16"/>
  <c r="BZ53" i="16"/>
  <c r="CF38" i="16"/>
  <c r="CA23" i="16"/>
  <c r="BX16" i="16"/>
  <c r="CE35" i="16"/>
  <c r="CI53" i="16"/>
  <c r="BW57" i="16"/>
  <c r="BX43" i="16"/>
  <c r="BW51" i="16"/>
  <c r="BV13" i="16"/>
  <c r="CC46" i="16"/>
  <c r="BX42" i="16"/>
  <c r="CD37" i="16"/>
  <c r="CG47" i="16"/>
  <c r="BY16" i="16"/>
  <c r="CI15" i="16"/>
  <c r="CG53" i="16"/>
  <c r="BS17" i="16"/>
  <c r="CD47" i="16"/>
  <c r="CH33" i="16"/>
  <c r="BS18" i="16"/>
  <c r="CG51" i="16"/>
  <c r="CE55" i="16"/>
  <c r="BR43" i="16"/>
  <c r="CD28" i="16"/>
  <c r="CD12" i="16"/>
  <c r="CI41" i="16"/>
  <c r="CB50" i="16"/>
  <c r="BU37" i="16"/>
  <c r="CI21" i="16"/>
  <c r="CA54" i="16"/>
  <c r="CD41" i="16"/>
  <c r="BV27" i="16"/>
  <c r="BV11" i="16"/>
  <c r="BX57" i="16"/>
  <c r="BR45" i="16"/>
  <c r="BS31" i="16"/>
  <c r="BU15" i="16"/>
  <c r="BV49" i="16"/>
  <c r="CD35" i="16"/>
  <c r="BS20" i="16"/>
  <c r="BU53" i="16"/>
  <c r="BR40" i="16"/>
  <c r="BX25" i="16"/>
  <c r="BK36" i="9" a="1"/>
  <c r="EB40" i="9"/>
  <c r="EG42" i="9"/>
  <c r="EA45" i="9"/>
  <c r="EM47" i="9"/>
  <c r="EG50" i="9"/>
  <c r="EA53" i="9"/>
  <c r="EM55" i="9"/>
  <c r="EG58" i="9"/>
  <c r="EA61" i="9"/>
  <c r="EG63" i="9"/>
  <c r="EF65" i="9"/>
  <c r="DZ67" i="9"/>
  <c r="EL68" i="9"/>
  <c r="EB70" i="9"/>
  <c r="EM71" i="9"/>
  <c r="DZ40" i="9"/>
  <c r="EM42" i="9"/>
  <c r="EG45" i="9"/>
  <c r="EA48" i="9"/>
  <c r="EM50" i="9"/>
  <c r="EG53" i="9"/>
  <c r="EA56" i="9"/>
  <c r="EM58" i="9"/>
  <c r="EG61" i="9"/>
  <c r="EM63" i="9"/>
  <c r="EH65" i="9"/>
  <c r="EF67" i="9"/>
  <c r="EN68" i="9"/>
  <c r="EG70" i="9"/>
  <c r="EA72" i="9"/>
  <c r="EA40" i="9"/>
  <c r="EA43" i="9"/>
  <c r="EM45" i="9"/>
  <c r="EG48" i="9"/>
  <c r="EA51" i="9"/>
  <c r="EM53" i="9"/>
  <c r="EG56" i="9"/>
  <c r="EA59" i="9"/>
  <c r="EM61" i="9"/>
  <c r="DZ64" i="9"/>
  <c r="EL65" i="9"/>
  <c r="EG67" i="9"/>
  <c r="DZ69" i="9"/>
  <c r="EL70" i="9"/>
  <c r="EB72" i="9"/>
  <c r="EL40" i="9"/>
  <c r="EF43" i="9"/>
  <c r="DZ46" i="9"/>
  <c r="EL48" i="9"/>
  <c r="EF51" i="9"/>
  <c r="DZ54" i="9"/>
  <c r="EL56" i="9"/>
  <c r="EF59" i="9"/>
  <c r="DZ62" i="9"/>
  <c r="EA64" i="9"/>
  <c r="EM65" i="9"/>
  <c r="EH67" i="9"/>
  <c r="EA69" i="9"/>
  <c r="EM70" i="9"/>
  <c r="EF72" i="9"/>
  <c r="EM40" i="9"/>
  <c r="EG43" i="9"/>
  <c r="EA46" i="9"/>
  <c r="EM48" i="9"/>
  <c r="EG51" i="9"/>
  <c r="EA54" i="9"/>
  <c r="EM56" i="9"/>
  <c r="EG59" i="9"/>
  <c r="EA62" i="9"/>
  <c r="EB64" i="9"/>
  <c r="DZ66" i="9"/>
  <c r="EL67" i="9"/>
  <c r="EF69" i="9"/>
  <c r="EN70" i="9"/>
  <c r="EG72" i="9"/>
  <c r="EA41" i="9"/>
  <c r="EM43" i="9"/>
  <c r="EG46" i="9"/>
  <c r="EA49" i="9"/>
  <c r="EM51" i="9"/>
  <c r="EG54" i="9"/>
  <c r="EA57" i="9"/>
  <c r="EM59" i="9"/>
  <c r="EF41" i="9"/>
  <c r="DZ44" i="9"/>
  <c r="EL46" i="9"/>
  <c r="EF49" i="9"/>
  <c r="DZ52" i="9"/>
  <c r="EL54" i="9"/>
  <c r="EF57" i="9"/>
  <c r="DZ60" i="9"/>
  <c r="EL62" i="9"/>
  <c r="EL64" i="9"/>
  <c r="EB66" i="9"/>
  <c r="DZ68" i="9"/>
  <c r="EH69" i="9"/>
  <c r="EA71" i="9"/>
  <c r="EM72" i="9"/>
  <c r="EG41" i="9"/>
  <c r="EA44" i="9"/>
  <c r="EM46" i="9"/>
  <c r="EG49" i="9"/>
  <c r="EA52" i="9"/>
  <c r="EM54" i="9"/>
  <c r="EG57" i="9"/>
  <c r="EA60" i="9"/>
  <c r="EM62" i="9"/>
  <c r="EM64" i="9"/>
  <c r="EG66" i="9"/>
  <c r="EA68" i="9"/>
  <c r="EL69" i="9"/>
  <c r="EF71" i="9"/>
  <c r="EN72" i="9"/>
  <c r="EM41" i="9"/>
  <c r="EM49" i="9"/>
  <c r="EM57" i="9"/>
  <c r="EH63" i="9"/>
  <c r="EB68" i="9"/>
  <c r="EL71" i="9"/>
  <c r="DZ42" i="9"/>
  <c r="DZ50" i="9"/>
  <c r="DZ58" i="9"/>
  <c r="EG64" i="9"/>
  <c r="EF68" i="9"/>
  <c r="DZ72" i="9"/>
  <c r="EG55" i="9"/>
  <c r="EG71" i="9"/>
  <c r="EH71" i="9"/>
  <c r="EA42" i="9"/>
  <c r="EA50" i="9"/>
  <c r="EA58" i="9"/>
  <c r="EN64" i="9"/>
  <c r="EG68" i="9"/>
  <c r="EL72" i="9"/>
  <c r="EG47" i="9"/>
  <c r="EA67" i="9"/>
  <c r="EL42" i="9"/>
  <c r="EL50" i="9"/>
  <c r="EL58" i="9"/>
  <c r="DZ65" i="9"/>
  <c r="EM68" i="9"/>
  <c r="EG44" i="9"/>
  <c r="EG52" i="9"/>
  <c r="EG60" i="9"/>
  <c r="EA65" i="9"/>
  <c r="EG69" i="9"/>
  <c r="EL44" i="9"/>
  <c r="EL52" i="9"/>
  <c r="EL60" i="9"/>
  <c r="EG65" i="9"/>
  <c r="EM69" i="9"/>
  <c r="EM44" i="9"/>
  <c r="EM52" i="9"/>
  <c r="EM60" i="9"/>
  <c r="EA66" i="9"/>
  <c r="DZ70" i="9"/>
  <c r="EF45" i="9"/>
  <c r="EF53" i="9"/>
  <c r="EF61" i="9"/>
  <c r="EL66" i="9"/>
  <c r="EA70" i="9"/>
  <c r="EA47" i="9"/>
  <c r="EA55" i="9"/>
  <c r="EG62" i="9"/>
  <c r="EM66" i="9"/>
  <c r="EF70" i="9"/>
  <c r="EA63" i="9"/>
  <c r="EF47" i="9"/>
  <c r="EF55" i="9"/>
  <c r="EN62" i="9"/>
  <c r="EN66" i="9"/>
  <c r="DZ71" i="9"/>
  <c r="DZ48" i="9"/>
  <c r="DZ56" i="9"/>
  <c r="EF63" i="9"/>
  <c r="EM67" i="9"/>
  <c r="EP67" i="9"/>
  <c r="EP59" i="9"/>
  <c r="EP51" i="9"/>
  <c r="EP43" i="9"/>
  <c r="EK64" i="9"/>
  <c r="EK50" i="9"/>
  <c r="EK42" i="9"/>
  <c r="EI66" i="9"/>
  <c r="EI58" i="9"/>
  <c r="EI50" i="9"/>
  <c r="EI42" i="9"/>
  <c r="EE61" i="9"/>
  <c r="EN69" i="9"/>
  <c r="EN61" i="9"/>
  <c r="EN53" i="9"/>
  <c r="EN45" i="9"/>
  <c r="EL63" i="9"/>
  <c r="DZ55" i="9"/>
  <c r="DZ47" i="9"/>
  <c r="EK71" i="9"/>
  <c r="EK63" i="9"/>
  <c r="EK55" i="9"/>
  <c r="EK47" i="9"/>
  <c r="EL61" i="9"/>
  <c r="ED66" i="9"/>
  <c r="ED58" i="9"/>
  <c r="ED50" i="9"/>
  <c r="ED42" i="9"/>
  <c r="EI67" i="9"/>
  <c r="EI59" i="9"/>
  <c r="EI51" i="9"/>
  <c r="EI43" i="9"/>
  <c r="EB58" i="9"/>
  <c r="EB50" i="9"/>
  <c r="EB42" i="9"/>
  <c r="EJ66" i="9"/>
  <c r="EJ58" i="9"/>
  <c r="EJ50" i="9"/>
  <c r="EJ42" i="9"/>
  <c r="EQ61" i="9"/>
  <c r="EE49" i="9"/>
  <c r="EK40" i="9"/>
  <c r="EC65" i="9"/>
  <c r="EC57" i="9"/>
  <c r="EC49" i="9"/>
  <c r="EC41" i="9"/>
  <c r="EQ57" i="9"/>
  <c r="EH68" i="9"/>
  <c r="EH60" i="9"/>
  <c r="EH52" i="9"/>
  <c r="EH44" i="9"/>
  <c r="EF62" i="9"/>
  <c r="EL53" i="9"/>
  <c r="EL45" i="9"/>
  <c r="EE70" i="9"/>
  <c r="EE62" i="9"/>
  <c r="EE54" i="9"/>
  <c r="EE46" i="9"/>
  <c r="EP72" i="9"/>
  <c r="EP64" i="9"/>
  <c r="EP56" i="9"/>
  <c r="EP48" i="9"/>
  <c r="EP40" i="9"/>
  <c r="EC66" i="9"/>
  <c r="EC58" i="9"/>
  <c r="EC50" i="9"/>
  <c r="EC42" i="9"/>
  <c r="EN56" i="9"/>
  <c r="EN48" i="9"/>
  <c r="EN40" i="9"/>
  <c r="DZ45" i="9"/>
  <c r="EK45" i="9"/>
  <c r="ED64" i="9"/>
  <c r="ED48" i="9"/>
  <c r="ED40" i="9"/>
  <c r="EI57" i="9"/>
  <c r="EI49" i="9"/>
  <c r="EB56" i="9"/>
  <c r="EP65" i="9"/>
  <c r="EP57" i="9"/>
  <c r="EP49" i="9"/>
  <c r="EP41" i="9"/>
  <c r="EK60" i="9"/>
  <c r="EK48" i="9"/>
  <c r="EI72" i="9"/>
  <c r="EI64" i="9"/>
  <c r="EI56" i="9"/>
  <c r="EI48" i="9"/>
  <c r="EI40" i="9"/>
  <c r="EK56" i="9"/>
  <c r="EN67" i="9"/>
  <c r="EN59" i="9"/>
  <c r="EN51" i="9"/>
  <c r="EN43" i="9"/>
  <c r="DZ61" i="9"/>
  <c r="DZ53" i="9"/>
  <c r="EK69" i="9"/>
  <c r="EK61" i="9"/>
  <c r="EK53" i="9"/>
  <c r="ED72" i="9"/>
  <c r="ED56" i="9"/>
  <c r="EI65" i="9"/>
  <c r="EI41" i="9"/>
  <c r="EB48" i="9"/>
  <c r="ED65" i="9"/>
  <c r="ED57" i="9"/>
  <c r="ED49" i="9"/>
  <c r="ED41" i="9"/>
  <c r="EE59" i="9"/>
  <c r="EQ47" i="9"/>
  <c r="EO71" i="9"/>
  <c r="EO63" i="9"/>
  <c r="EO55" i="9"/>
  <c r="EO47" i="9"/>
  <c r="EQ71" i="9"/>
  <c r="EE55" i="9"/>
  <c r="EB67" i="9"/>
  <c r="EB59" i="9"/>
  <c r="EB51" i="9"/>
  <c r="EB43" i="9"/>
  <c r="EF60" i="9"/>
  <c r="EF52" i="9"/>
  <c r="EF44" i="9"/>
  <c r="EQ68" i="9"/>
  <c r="EQ60" i="9"/>
  <c r="EQ52" i="9"/>
  <c r="EQ44" i="9"/>
  <c r="EJ71" i="9"/>
  <c r="EJ63" i="9"/>
  <c r="EJ55" i="9"/>
  <c r="EJ47" i="9"/>
  <c r="EO72" i="9"/>
  <c r="EO64" i="9"/>
  <c r="EO56" i="9"/>
  <c r="EO48" i="9"/>
  <c r="EO40" i="9"/>
  <c r="EH55" i="9"/>
  <c r="EJ72" i="9"/>
  <c r="EJ64" i="9"/>
  <c r="EJ56" i="9"/>
  <c r="EJ48" i="9"/>
  <c r="EJ40" i="9"/>
  <c r="EK58" i="9"/>
  <c r="EE47" i="9"/>
  <c r="EC71" i="9"/>
  <c r="EC63" i="9"/>
  <c r="EC55" i="9"/>
  <c r="EC47" i="9"/>
  <c r="EK70" i="9"/>
  <c r="EQ53" i="9"/>
  <c r="EH66" i="9"/>
  <c r="EH58" i="9"/>
  <c r="EH50" i="9"/>
  <c r="EH42" i="9"/>
  <c r="EL59" i="9"/>
  <c r="EL51" i="9"/>
  <c r="EL43" i="9"/>
  <c r="EE68" i="9"/>
  <c r="EE60" i="9"/>
  <c r="EE52" i="9"/>
  <c r="EE44" i="9"/>
  <c r="EP70" i="9"/>
  <c r="EP62" i="9"/>
  <c r="EP54" i="9"/>
  <c r="EP46" i="9"/>
  <c r="EC72" i="9"/>
  <c r="EC64" i="9"/>
  <c r="EC56" i="9"/>
  <c r="EC48" i="9"/>
  <c r="EC40" i="9"/>
  <c r="EN54" i="9"/>
  <c r="EN46" i="9"/>
  <c r="EP71" i="9"/>
  <c r="EP63" i="9"/>
  <c r="EP55" i="9"/>
  <c r="EP47" i="9"/>
  <c r="EK72" i="9"/>
  <c r="EE57" i="9"/>
  <c r="EK46" i="9"/>
  <c r="EI70" i="9"/>
  <c r="EI62" i="9"/>
  <c r="EI54" i="9"/>
  <c r="EI46" i="9"/>
  <c r="EE69" i="9"/>
  <c r="EE51" i="9"/>
  <c r="EN65" i="9"/>
  <c r="EN57" i="9"/>
  <c r="EN49" i="9"/>
  <c r="EN41" i="9"/>
  <c r="DZ59" i="9"/>
  <c r="DZ51" i="9"/>
  <c r="DZ43" i="9"/>
  <c r="EK67" i="9"/>
  <c r="EK59" i="9"/>
  <c r="EK51" i="9"/>
  <c r="EK43" i="9"/>
  <c r="ED70" i="9"/>
  <c r="ED62" i="9"/>
  <c r="ED54" i="9"/>
  <c r="ED46" i="9"/>
  <c r="EI71" i="9"/>
  <c r="EI63" i="9"/>
  <c r="EI55" i="9"/>
  <c r="EI47" i="9"/>
  <c r="EB62" i="9"/>
  <c r="EB54" i="9"/>
  <c r="EB46" i="9"/>
  <c r="ED71" i="9"/>
  <c r="ED63" i="9"/>
  <c r="ED55" i="9"/>
  <c r="ED47" i="9"/>
  <c r="EE71" i="9"/>
  <c r="EQ55" i="9"/>
  <c r="EQ45" i="9"/>
  <c r="EO69" i="9"/>
  <c r="EO61" i="9"/>
  <c r="EO53" i="9"/>
  <c r="EO45" i="9"/>
  <c r="EQ67" i="9"/>
  <c r="EE41" i="9"/>
  <c r="EB65" i="9"/>
  <c r="EB57" i="9"/>
  <c r="EB49" i="9"/>
  <c r="EB41" i="9"/>
  <c r="EF58" i="9"/>
  <c r="EF50" i="9"/>
  <c r="EF42" i="9"/>
  <c r="EQ66" i="9"/>
  <c r="EQ58" i="9"/>
  <c r="EQ50" i="9"/>
  <c r="EQ42" i="9"/>
  <c r="EJ69" i="9"/>
  <c r="EJ61" i="9"/>
  <c r="EJ53" i="9"/>
  <c r="EJ45" i="9"/>
  <c r="EO70" i="9"/>
  <c r="EO62" i="9"/>
  <c r="EO54" i="9"/>
  <c r="EP69" i="9"/>
  <c r="EP61" i="9"/>
  <c r="EP53" i="9"/>
  <c r="EP45" i="9"/>
  <c r="EK68" i="9"/>
  <c r="EE53" i="9"/>
  <c r="EK44" i="9"/>
  <c r="EI68" i="9"/>
  <c r="EI60" i="9"/>
  <c r="EI52" i="9"/>
  <c r="EI44" i="9"/>
  <c r="EE65" i="9"/>
  <c r="EN71" i="9"/>
  <c r="EN63" i="9"/>
  <c r="EN55" i="9"/>
  <c r="EN47" i="9"/>
  <c r="EG40" i="9"/>
  <c r="DZ57" i="9"/>
  <c r="DZ49" i="9"/>
  <c r="EF40" i="9"/>
  <c r="EK65" i="9"/>
  <c r="EK57" i="9"/>
  <c r="EK49" i="9"/>
  <c r="EK41" i="9"/>
  <c r="EJ68" i="9"/>
  <c r="EJ44" i="9"/>
  <c r="EE43" i="9"/>
  <c r="EC51" i="9"/>
  <c r="EH70" i="9"/>
  <c r="EH46" i="9"/>
  <c r="EL47" i="9"/>
  <c r="EE56" i="9"/>
  <c r="EJ67" i="9"/>
  <c r="EJ49" i="9"/>
  <c r="EI61" i="9"/>
  <c r="EO44" i="9"/>
  <c r="EH51" i="9"/>
  <c r="EC44" i="9"/>
  <c r="EF66" i="9"/>
  <c r="EP60" i="9"/>
  <c r="EH61" i="9"/>
  <c r="EQ65" i="9"/>
  <c r="EH62" i="9"/>
  <c r="EE48" i="9"/>
  <c r="EN60" i="9"/>
  <c r="EO65" i="9"/>
  <c r="DZ63" i="9"/>
  <c r="EJ59" i="9"/>
  <c r="EI53" i="9"/>
  <c r="EK52" i="9"/>
  <c r="EQ40" i="9"/>
  <c r="EH43" i="9"/>
  <c r="EO50" i="9"/>
  <c r="ED51" i="9"/>
  <c r="EF54" i="9"/>
  <c r="EO46" i="9"/>
  <c r="EN52" i="9"/>
  <c r="EQ43" i="9"/>
  <c r="EP50" i="9"/>
  <c r="ED67" i="9"/>
  <c r="ED43" i="9"/>
  <c r="EQ41" i="9"/>
  <c r="EO49" i="9"/>
  <c r="EB69" i="9"/>
  <c r="EB45" i="9"/>
  <c r="EF46" i="9"/>
  <c r="EQ54" i="9"/>
  <c r="EP66" i="9"/>
  <c r="EP44" i="9"/>
  <c r="EO60" i="9"/>
  <c r="EN50" i="9"/>
  <c r="EO58" i="9"/>
  <c r="EC67" i="9"/>
  <c r="EF64" i="9"/>
  <c r="EP42" i="9"/>
  <c r="EH45" i="9"/>
  <c r="EO41" i="9"/>
  <c r="EJ41" i="9"/>
  <c r="EB55" i="9"/>
  <c r="EJ57" i="9"/>
  <c r="EH57" i="9"/>
  <c r="EQ59" i="9"/>
  <c r="ED52" i="9"/>
  <c r="EE45" i="9"/>
  <c r="EL49" i="9"/>
  <c r="EC46" i="9"/>
  <c r="EO51" i="9"/>
  <c r="EQ56" i="9"/>
  <c r="EJ62" i="9"/>
  <c r="EQ69" i="9"/>
  <c r="EC69" i="9"/>
  <c r="EC45" i="9"/>
  <c r="EH64" i="9"/>
  <c r="EH40" i="9"/>
  <c r="EL41" i="9"/>
  <c r="EE50" i="9"/>
  <c r="EJ65" i="9"/>
  <c r="ED44" i="9"/>
  <c r="EC60" i="9"/>
  <c r="EO42" i="9"/>
  <c r="EH49" i="9"/>
  <c r="EE67" i="9"/>
  <c r="EO43" i="9"/>
  <c r="EB63" i="9"/>
  <c r="EQ72" i="9"/>
  <c r="EJ43" i="9"/>
  <c r="EH47" i="9"/>
  <c r="EJ60" i="9"/>
  <c r="EC43" i="9"/>
  <c r="EE72" i="9"/>
  <c r="EC54" i="9"/>
  <c r="ED59" i="9"/>
  <c r="EB61" i="9"/>
  <c r="EQ46" i="9"/>
  <c r="EB60" i="9"/>
  <c r="ED53" i="9"/>
  <c r="EF56" i="9"/>
  <c r="EC52" i="9"/>
  <c r="EN42" i="9"/>
  <c r="EQ49" i="9"/>
  <c r="DZ41" i="9"/>
  <c r="EH41" i="9"/>
  <c r="EH72" i="9"/>
  <c r="EJ51" i="9"/>
  <c r="EB47" i="9"/>
  <c r="EI45" i="9"/>
  <c r="ED61" i="9"/>
  <c r="EO67" i="9"/>
  <c r="EQ48" i="9"/>
  <c r="ED60" i="9"/>
  <c r="EE63" i="9"/>
  <c r="EQ70" i="9"/>
  <c r="EN44" i="9"/>
  <c r="EQ63" i="9"/>
  <c r="EN58" i="9"/>
  <c r="EO57" i="9"/>
  <c r="EH53" i="9"/>
  <c r="EJ70" i="9"/>
  <c r="EE58" i="9"/>
  <c r="ED69" i="9"/>
  <c r="ED68" i="9"/>
  <c r="EJ54" i="9"/>
  <c r="EK54" i="9"/>
  <c r="EC61" i="9"/>
  <c r="EK66" i="9"/>
  <c r="EH56" i="9"/>
  <c r="EL57" i="9"/>
  <c r="EE66" i="9"/>
  <c r="EE42" i="9"/>
  <c r="EP58" i="9"/>
  <c r="EC70" i="9"/>
  <c r="EO52" i="9"/>
  <c r="EH59" i="9"/>
  <c r="EB44" i="9"/>
  <c r="EO59" i="9"/>
  <c r="EQ64" i="9"/>
  <c r="EI69" i="9"/>
  <c r="EB53" i="9"/>
  <c r="EC68" i="9"/>
  <c r="EJ46" i="9"/>
  <c r="EH48" i="9"/>
  <c r="EO66" i="9"/>
  <c r="ED45" i="9"/>
  <c r="EF48" i="9"/>
  <c r="EC62" i="9"/>
  <c r="EJ52" i="9"/>
  <c r="EQ51" i="9"/>
  <c r="EC59" i="9"/>
  <c r="EK62" i="9"/>
  <c r="EH54" i="9"/>
  <c r="EL55" i="9"/>
  <c r="EE64" i="9"/>
  <c r="EE40" i="9"/>
  <c r="EP52" i="9"/>
  <c r="EO68" i="9"/>
  <c r="EQ62" i="9"/>
  <c r="EC53" i="9"/>
  <c r="EP68" i="9"/>
  <c r="EB71" i="9"/>
  <c r="EB52" i="9"/>
  <c r="DL36" i="9" a="1"/>
  <c r="DL61" i="9" s="1"/>
  <c r="AJ37" i="17"/>
  <c r="AJ57" i="17" s="1"/>
  <c r="AN26" i="17"/>
  <c r="AN27" i="17" s="1"/>
  <c r="AH36" i="17"/>
  <c r="AH56" i="17" s="1"/>
  <c r="AL26" i="17"/>
  <c r="AL27" i="17" s="1"/>
  <c r="Z56" i="17"/>
  <c r="AK37" i="17"/>
  <c r="AK57" i="17" s="1"/>
  <c r="AO26" i="17"/>
  <c r="AO27" i="17" s="1"/>
  <c r="AN36" i="17"/>
  <c r="AN56" i="17" s="1"/>
  <c r="AR26" i="17"/>
  <c r="AR27" i="17" s="1"/>
  <c r="CF54" i="9"/>
  <c r="DL45" i="9" l="1"/>
  <c r="DL47" i="9"/>
  <c r="DL65" i="9"/>
  <c r="DL51" i="9"/>
  <c r="DL50" i="9"/>
  <c r="DL40" i="9"/>
  <c r="DL48" i="9"/>
  <c r="DL56" i="9"/>
  <c r="DL59" i="9"/>
  <c r="DL55" i="9"/>
  <c r="DL58" i="9"/>
  <c r="DL38" i="9"/>
  <c r="DL37" i="9"/>
  <c r="DL36" i="9"/>
  <c r="DL60" i="9"/>
  <c r="DL54" i="9"/>
  <c r="DL49" i="9"/>
  <c r="DL43" i="9"/>
  <c r="DL46" i="9"/>
  <c r="DL42" i="9"/>
  <c r="BK36" i="9"/>
  <c r="BK82" i="9" s="1"/>
  <c r="BM82" i="9" s="1"/>
  <c r="BK45" i="9"/>
  <c r="BK91" i="9" s="1"/>
  <c r="BM91" i="9" s="1"/>
  <c r="BK57" i="9"/>
  <c r="BK103" i="9" s="1"/>
  <c r="BM103" i="9" s="1"/>
  <c r="BK55" i="9"/>
  <c r="BK101" i="9" s="1"/>
  <c r="BM101" i="9" s="1"/>
  <c r="BK63" i="9"/>
  <c r="BK43" i="9"/>
  <c r="BK89" i="9" s="1"/>
  <c r="BM89" i="9" s="1"/>
  <c r="BK39" i="9"/>
  <c r="BK66" i="9"/>
  <c r="BK50" i="9"/>
  <c r="BK96" i="9" s="1"/>
  <c r="BM96" i="9" s="1"/>
  <c r="BK61" i="9"/>
  <c r="BK47" i="9"/>
  <c r="BK93" i="9" s="1"/>
  <c r="BM93" i="9" s="1"/>
  <c r="BK53" i="9"/>
  <c r="BK99" i="9" s="1"/>
  <c r="BM99" i="9" s="1"/>
  <c r="BK56" i="9"/>
  <c r="BK77" i="9" s="1"/>
  <c r="BK67" i="9"/>
  <c r="BK54" i="9"/>
  <c r="BK100" i="9" s="1"/>
  <c r="BM100" i="9" s="1"/>
  <c r="BK41" i="9"/>
  <c r="BK87" i="9" s="1"/>
  <c r="BM87" i="9" s="1"/>
  <c r="BK64" i="9"/>
  <c r="BK42" i="9"/>
  <c r="BK88" i="9" s="1"/>
  <c r="BM88" i="9" s="1"/>
  <c r="BK49" i="9"/>
  <c r="BK95" i="9" s="1"/>
  <c r="BM95" i="9" s="1"/>
  <c r="BK59" i="9"/>
  <c r="BK105" i="9" s="1"/>
  <c r="BM105" i="9" s="1"/>
  <c r="BK52" i="9"/>
  <c r="BK98" i="9" s="1"/>
  <c r="BM98" i="9" s="1"/>
  <c r="BK65" i="9"/>
  <c r="BK44" i="9"/>
  <c r="BK90" i="9" s="1"/>
  <c r="BM90" i="9" s="1"/>
  <c r="BK38" i="9"/>
  <c r="BK84" i="9" s="1"/>
  <c r="BM84" i="9" s="1"/>
  <c r="BK37" i="9"/>
  <c r="BK83" i="9" s="1"/>
  <c r="BM83" i="9" s="1"/>
  <c r="BK60" i="9"/>
  <c r="BK48" i="9"/>
  <c r="BK94" i="9" s="1"/>
  <c r="BM94" i="9" s="1"/>
  <c r="BK68" i="9"/>
  <c r="BK58" i="9"/>
  <c r="BK104" i="9" s="1"/>
  <c r="BM104" i="9" s="1"/>
  <c r="BK40" i="9"/>
  <c r="BK86" i="9" s="1"/>
  <c r="BM86" i="9" s="1"/>
  <c r="BK46" i="9"/>
  <c r="BK92" i="9" s="1"/>
  <c r="BM92" i="9" s="1"/>
  <c r="BK51" i="9"/>
  <c r="BK97" i="9" s="1"/>
  <c r="BM97" i="9" s="1"/>
  <c r="BK62" i="9"/>
  <c r="BQ10" i="17" a="1"/>
  <c r="DL39" i="9"/>
  <c r="DL64" i="9"/>
  <c r="DL63" i="9"/>
  <c r="DL52" i="9"/>
  <c r="DL57" i="9"/>
  <c r="DL41" i="9"/>
  <c r="DL53" i="9"/>
  <c r="DL44" i="9"/>
  <c r="DL62" i="9"/>
  <c r="BK76" i="9" l="1"/>
  <c r="DL72" i="9"/>
  <c r="DL73" i="9"/>
  <c r="BQ10" i="17"/>
  <c r="BZ18" i="17"/>
  <c r="CB20" i="17"/>
  <c r="CB22" i="17"/>
  <c r="BY24" i="17"/>
  <c r="CE25" i="17"/>
  <c r="BS27" i="17"/>
  <c r="BX28" i="17"/>
  <c r="BW29" i="17"/>
  <c r="BX30" i="17"/>
  <c r="BW31" i="17"/>
  <c r="BX32" i="17"/>
  <c r="BW33" i="17"/>
  <c r="BX34" i="17"/>
  <c r="BW35" i="17"/>
  <c r="BX36" i="17"/>
  <c r="BW37" i="17"/>
  <c r="BX38" i="17"/>
  <c r="BW39" i="17"/>
  <c r="BX40" i="17"/>
  <c r="BW41" i="17"/>
  <c r="BX42" i="17"/>
  <c r="BW43" i="17"/>
  <c r="BX44" i="17"/>
  <c r="BW45" i="17"/>
  <c r="BX46" i="17"/>
  <c r="BW47" i="17"/>
  <c r="BX48" i="17"/>
  <c r="BW49" i="17"/>
  <c r="BX50" i="17"/>
  <c r="BW51" i="17"/>
  <c r="BX52" i="17"/>
  <c r="BW53" i="17"/>
  <c r="BX54" i="17"/>
  <c r="BW55" i="17"/>
  <c r="BX56" i="17"/>
  <c r="BW57" i="17"/>
  <c r="BT11" i="17"/>
  <c r="CC18" i="17"/>
  <c r="CC20" i="17"/>
  <c r="CC22" i="17"/>
  <c r="BZ24" i="17"/>
  <c r="CF25" i="17"/>
  <c r="BT27" i="17"/>
  <c r="BY28" i="17"/>
  <c r="BX29" i="17"/>
  <c r="BY30" i="17"/>
  <c r="BX31" i="17"/>
  <c r="BY32" i="17"/>
  <c r="BX33" i="17"/>
  <c r="BY34" i="17"/>
  <c r="BX35" i="17"/>
  <c r="BY36" i="17"/>
  <c r="BX37" i="17"/>
  <c r="BY38" i="17"/>
  <c r="BX39" i="17"/>
  <c r="BY40" i="17"/>
  <c r="BX41" i="17"/>
  <c r="BY42" i="17"/>
  <c r="BX43" i="17"/>
  <c r="BY44" i="17"/>
  <c r="BX45" i="17"/>
  <c r="BY46" i="17"/>
  <c r="BX47" i="17"/>
  <c r="BY48" i="17"/>
  <c r="BX49" i="17"/>
  <c r="BY50" i="17"/>
  <c r="BX51" i="17"/>
  <c r="BY52" i="17"/>
  <c r="BX53" i="17"/>
  <c r="BY54" i="17"/>
  <c r="BX55" i="17"/>
  <c r="BY56" i="17"/>
  <c r="BX57" i="17"/>
  <c r="CF11" i="17"/>
  <c r="BQ19" i="17"/>
  <c r="BQ21" i="17"/>
  <c r="BQ23" i="17"/>
  <c r="CB24" i="17"/>
  <c r="CH25" i="17"/>
  <c r="BV27" i="17"/>
  <c r="BZ28" i="17"/>
  <c r="BY29" i="17"/>
  <c r="BZ30" i="17"/>
  <c r="BY31" i="17"/>
  <c r="BZ32" i="17"/>
  <c r="BY33" i="17"/>
  <c r="BZ34" i="17"/>
  <c r="BY35" i="17"/>
  <c r="BZ36" i="17"/>
  <c r="BY37" i="17"/>
  <c r="BZ38" i="17"/>
  <c r="BY39" i="17"/>
  <c r="BZ40" i="17"/>
  <c r="BY41" i="17"/>
  <c r="BZ42" i="17"/>
  <c r="BY43" i="17"/>
  <c r="BZ44" i="17"/>
  <c r="BY45" i="17"/>
  <c r="BZ46" i="17"/>
  <c r="BY47" i="17"/>
  <c r="BZ48" i="17"/>
  <c r="BY49" i="17"/>
  <c r="BZ50" i="17"/>
  <c r="BY51" i="17"/>
  <c r="BZ52" i="17"/>
  <c r="BY53" i="17"/>
  <c r="BZ54" i="17"/>
  <c r="BY55" i="17"/>
  <c r="BZ56" i="17"/>
  <c r="BY57" i="17"/>
  <c r="BZ12" i="17"/>
  <c r="BT19" i="17"/>
  <c r="BT21" i="17"/>
  <c r="BT23" i="17"/>
  <c r="CC24" i="17"/>
  <c r="BQ26" i="17"/>
  <c r="BW27" i="17"/>
  <c r="CB28" i="17"/>
  <c r="CC29" i="17"/>
  <c r="CB30" i="17"/>
  <c r="CC31" i="17"/>
  <c r="CB32" i="17"/>
  <c r="CC33" i="17"/>
  <c r="CB34" i="17"/>
  <c r="CC35" i="17"/>
  <c r="CB36" i="17"/>
  <c r="CC37" i="17"/>
  <c r="CB38" i="17"/>
  <c r="CC39" i="17"/>
  <c r="CB40" i="17"/>
  <c r="CC41" i="17"/>
  <c r="CB42" i="17"/>
  <c r="CC43" i="17"/>
  <c r="CB44" i="17"/>
  <c r="CC45" i="17"/>
  <c r="CB46" i="17"/>
  <c r="CC47" i="17"/>
  <c r="CB48" i="17"/>
  <c r="CC49" i="17"/>
  <c r="CB50" i="17"/>
  <c r="CC51" i="17"/>
  <c r="CB52" i="17"/>
  <c r="CC53" i="17"/>
  <c r="CB54" i="17"/>
  <c r="CC55" i="17"/>
  <c r="CB56" i="17"/>
  <c r="CC57" i="17"/>
  <c r="BT13" i="17"/>
  <c r="BV19" i="17"/>
  <c r="BV21" i="17"/>
  <c r="BV23" i="17"/>
  <c r="CE24" i="17"/>
  <c r="BS26" i="17"/>
  <c r="BY27" i="17"/>
  <c r="CC28" i="17"/>
  <c r="CD29" i="17"/>
  <c r="CC30" i="17"/>
  <c r="CD31" i="17"/>
  <c r="CC32" i="17"/>
  <c r="CD33" i="17"/>
  <c r="CC34" i="17"/>
  <c r="CD35" i="17"/>
  <c r="CC36" i="17"/>
  <c r="CD37" i="17"/>
  <c r="CC38" i="17"/>
  <c r="CD39" i="17"/>
  <c r="CC40" i="17"/>
  <c r="CD41" i="17"/>
  <c r="CC42" i="17"/>
  <c r="CD43" i="17"/>
  <c r="CC44" i="17"/>
  <c r="CD45" i="17"/>
  <c r="CC46" i="17"/>
  <c r="CD47" i="17"/>
  <c r="CC48" i="17"/>
  <c r="CD49" i="17"/>
  <c r="CC50" i="17"/>
  <c r="CD51" i="17"/>
  <c r="CC52" i="17"/>
  <c r="CD53" i="17"/>
  <c r="CC54" i="17"/>
  <c r="CD55" i="17"/>
  <c r="CC56" i="17"/>
  <c r="CD57" i="17"/>
  <c r="CF13" i="17"/>
  <c r="BW19" i="17"/>
  <c r="BW21" i="17"/>
  <c r="BW23" i="17"/>
  <c r="BQ25" i="17"/>
  <c r="BW26" i="17"/>
  <c r="CC27" i="17"/>
  <c r="CD28" i="17"/>
  <c r="CE29" i="17"/>
  <c r="CD30" i="17"/>
  <c r="CE31" i="17"/>
  <c r="CD32" i="17"/>
  <c r="CE33" i="17"/>
  <c r="CD34" i="17"/>
  <c r="CE35" i="17"/>
  <c r="CD36" i="17"/>
  <c r="CE37" i="17"/>
  <c r="CD38" i="17"/>
  <c r="CE39" i="17"/>
  <c r="CD40" i="17"/>
  <c r="CE41" i="17"/>
  <c r="CD42" i="17"/>
  <c r="CE43" i="17"/>
  <c r="CD44" i="17"/>
  <c r="CE45" i="17"/>
  <c r="CD46" i="17"/>
  <c r="CE47" i="17"/>
  <c r="CD48" i="17"/>
  <c r="CE49" i="17"/>
  <c r="CD50" i="17"/>
  <c r="CE51" i="17"/>
  <c r="CD52" i="17"/>
  <c r="CE53" i="17"/>
  <c r="CD54" i="17"/>
  <c r="CE55" i="17"/>
  <c r="CD56" i="17"/>
  <c r="CE57" i="17"/>
  <c r="BZ14" i="17"/>
  <c r="CC19" i="17"/>
  <c r="CC21" i="17"/>
  <c r="CC23" i="17"/>
  <c r="BS25" i="17"/>
  <c r="BY26" i="17"/>
  <c r="CE27" i="17"/>
  <c r="CE28" i="17"/>
  <c r="CF29" i="17"/>
  <c r="CE30" i="17"/>
  <c r="CF31" i="17"/>
  <c r="CE32" i="17"/>
  <c r="CF33" i="17"/>
  <c r="CE34" i="17"/>
  <c r="CF35" i="17"/>
  <c r="CE36" i="17"/>
  <c r="CF37" i="17"/>
  <c r="CE38" i="17"/>
  <c r="CF39" i="17"/>
  <c r="CE40" i="17"/>
  <c r="CF41" i="17"/>
  <c r="CE42" i="17"/>
  <c r="CF43" i="17"/>
  <c r="CE44" i="17"/>
  <c r="CF45" i="17"/>
  <c r="CE46" i="17"/>
  <c r="CF47" i="17"/>
  <c r="CE48" i="17"/>
  <c r="CF49" i="17"/>
  <c r="CE50" i="17"/>
  <c r="CF51" i="17"/>
  <c r="CE52" i="17"/>
  <c r="CF53" i="17"/>
  <c r="CE54" i="17"/>
  <c r="CF55" i="17"/>
  <c r="CE56" i="17"/>
  <c r="CF57" i="17"/>
  <c r="BT15" i="17"/>
  <c r="CF19" i="17"/>
  <c r="CF21" i="17"/>
  <c r="CE23" i="17"/>
  <c r="BT25" i="17"/>
  <c r="BZ26" i="17"/>
  <c r="CF27" i="17"/>
  <c r="BQ29" i="17"/>
  <c r="CH29" i="17"/>
  <c r="BQ31" i="17"/>
  <c r="CH31" i="17"/>
  <c r="BQ33" i="17"/>
  <c r="CH33" i="17"/>
  <c r="BQ35" i="17"/>
  <c r="CH35" i="17"/>
  <c r="BQ37" i="17"/>
  <c r="CH37" i="17"/>
  <c r="BQ39" i="17"/>
  <c r="CH39" i="17"/>
  <c r="BQ41" i="17"/>
  <c r="CH41" i="17"/>
  <c r="BQ43" i="17"/>
  <c r="CH43" i="17"/>
  <c r="BQ45" i="17"/>
  <c r="CH45" i="17"/>
  <c r="BQ47" i="17"/>
  <c r="CH47" i="17"/>
  <c r="BQ49" i="17"/>
  <c r="CH49" i="17"/>
  <c r="BQ51" i="17"/>
  <c r="CH51" i="17"/>
  <c r="BQ53" i="17"/>
  <c r="CH53" i="17"/>
  <c r="BQ55" i="17"/>
  <c r="CH55" i="17"/>
  <c r="BQ57" i="17"/>
  <c r="CH57" i="17"/>
  <c r="CF15" i="17"/>
  <c r="CH19" i="17"/>
  <c r="CH21" i="17"/>
  <c r="CF23" i="17"/>
  <c r="BV25" i="17"/>
  <c r="CB26" i="17"/>
  <c r="CH27" i="17"/>
  <c r="BR29" i="17"/>
  <c r="BQ30" i="17"/>
  <c r="BR31" i="17"/>
  <c r="BQ32" i="17"/>
  <c r="BR33" i="17"/>
  <c r="BQ34" i="17"/>
  <c r="BR35" i="17"/>
  <c r="BQ36" i="17"/>
  <c r="BR37" i="17"/>
  <c r="BQ38" i="17"/>
  <c r="BR39" i="17"/>
  <c r="BQ40" i="17"/>
  <c r="BR41" i="17"/>
  <c r="BQ42" i="17"/>
  <c r="BR43" i="17"/>
  <c r="BQ44" i="17"/>
  <c r="BR45" i="17"/>
  <c r="BQ46" i="17"/>
  <c r="BR47" i="17"/>
  <c r="BQ48" i="17"/>
  <c r="BR49" i="17"/>
  <c r="BQ50" i="17"/>
  <c r="BR51" i="17"/>
  <c r="BQ52" i="17"/>
  <c r="BR53" i="17"/>
  <c r="BQ54" i="17"/>
  <c r="BR55" i="17"/>
  <c r="BQ56" i="17"/>
  <c r="BR57" i="17"/>
  <c r="BZ16" i="17"/>
  <c r="BW25" i="17"/>
  <c r="BR30" i="17"/>
  <c r="BR34" i="17"/>
  <c r="BR38" i="17"/>
  <c r="BR42" i="17"/>
  <c r="BR46" i="17"/>
  <c r="BR50" i="17"/>
  <c r="BR54" i="17"/>
  <c r="BT37" i="17"/>
  <c r="BV37" i="17"/>
  <c r="BT17" i="17"/>
  <c r="BY25" i="17"/>
  <c r="BS30" i="17"/>
  <c r="BS34" i="17"/>
  <c r="BS38" i="17"/>
  <c r="BS42" i="17"/>
  <c r="BS46" i="17"/>
  <c r="BS50" i="17"/>
  <c r="BS54" i="17"/>
  <c r="BT49" i="17"/>
  <c r="BV29" i="17"/>
  <c r="CF17" i="17"/>
  <c r="CC25" i="17"/>
  <c r="BW30" i="17"/>
  <c r="BW34" i="17"/>
  <c r="BW38" i="17"/>
  <c r="BW42" i="17"/>
  <c r="BW46" i="17"/>
  <c r="BW50" i="17"/>
  <c r="BW54" i="17"/>
  <c r="BT57" i="17"/>
  <c r="BV33" i="17"/>
  <c r="BQ20" i="17"/>
  <c r="CC26" i="17"/>
  <c r="BS31" i="17"/>
  <c r="BS35" i="17"/>
  <c r="BS39" i="17"/>
  <c r="BS43" i="17"/>
  <c r="BS47" i="17"/>
  <c r="BS51" i="17"/>
  <c r="BS55" i="17"/>
  <c r="BT53" i="17"/>
  <c r="BV41" i="17"/>
  <c r="BW20" i="17"/>
  <c r="CE26" i="17"/>
  <c r="BT31" i="17"/>
  <c r="BT35" i="17"/>
  <c r="BT39" i="17"/>
  <c r="BT43" i="17"/>
  <c r="BT47" i="17"/>
  <c r="BT51" i="17"/>
  <c r="BT55" i="17"/>
  <c r="BT45" i="17"/>
  <c r="BV53" i="17"/>
  <c r="BZ20" i="17"/>
  <c r="BQ27" i="17"/>
  <c r="BV31" i="17"/>
  <c r="BV35" i="17"/>
  <c r="BV39" i="17"/>
  <c r="BV43" i="17"/>
  <c r="BV47" i="17"/>
  <c r="BV51" i="17"/>
  <c r="BV55" i="17"/>
  <c r="BQ22" i="17"/>
  <c r="BQ28" i="17"/>
  <c r="BR32" i="17"/>
  <c r="BR36" i="17"/>
  <c r="BR40" i="17"/>
  <c r="BR44" i="17"/>
  <c r="BR48" i="17"/>
  <c r="BR52" i="17"/>
  <c r="BR56" i="17"/>
  <c r="BT41" i="17"/>
  <c r="BV45" i="17"/>
  <c r="BW22" i="17"/>
  <c r="BS28" i="17"/>
  <c r="BS32" i="17"/>
  <c r="BS36" i="17"/>
  <c r="BS40" i="17"/>
  <c r="BS44" i="17"/>
  <c r="BS48" i="17"/>
  <c r="BS52" i="17"/>
  <c r="BS56" i="17"/>
  <c r="BT33" i="17"/>
  <c r="BV49" i="17"/>
  <c r="BZ22" i="17"/>
  <c r="BW28" i="17"/>
  <c r="BW32" i="17"/>
  <c r="BW36" i="17"/>
  <c r="BW40" i="17"/>
  <c r="BW44" i="17"/>
  <c r="BW48" i="17"/>
  <c r="BW52" i="17"/>
  <c r="BW56" i="17"/>
  <c r="BT29" i="17"/>
  <c r="BV57" i="17"/>
  <c r="CH23" i="17"/>
  <c r="BS29" i="17"/>
  <c r="BS33" i="17"/>
  <c r="BS37" i="17"/>
  <c r="BS41" i="17"/>
  <c r="BS45" i="17"/>
  <c r="BS49" i="17"/>
  <c r="BS53" i="17"/>
  <c r="BS57" i="17"/>
  <c r="BQ24" i="17"/>
  <c r="BW24" i="17"/>
  <c r="BV11" i="17"/>
  <c r="BU51" i="17"/>
  <c r="BU43" i="17"/>
  <c r="BU35" i="17"/>
  <c r="BU27" i="17"/>
  <c r="BU19" i="17"/>
  <c r="BU11" i="17"/>
  <c r="BS17" i="17"/>
  <c r="BR27" i="17"/>
  <c r="BR19" i="17"/>
  <c r="BR11" i="17"/>
  <c r="CC11" i="17"/>
  <c r="BV50" i="17"/>
  <c r="BV42" i="17"/>
  <c r="BV34" i="17"/>
  <c r="BV26" i="17"/>
  <c r="BV18" i="17"/>
  <c r="BV10" i="17"/>
  <c r="CG50" i="17"/>
  <c r="CG42" i="17"/>
  <c r="CG34" i="17"/>
  <c r="CG26" i="17"/>
  <c r="CG18" i="17"/>
  <c r="CG10" i="17"/>
  <c r="BZ51" i="17"/>
  <c r="BZ43" i="17"/>
  <c r="BZ35" i="17"/>
  <c r="BZ27" i="17"/>
  <c r="BZ19" i="17"/>
  <c r="BZ11" i="17"/>
  <c r="BS18" i="17"/>
  <c r="BS10" i="17"/>
  <c r="CD20" i="17"/>
  <c r="CD12" i="17"/>
  <c r="BW13" i="17"/>
  <c r="CB18" i="17"/>
  <c r="CB10" i="17"/>
  <c r="CA50" i="17"/>
  <c r="CA42" i="17"/>
  <c r="CA34" i="17"/>
  <c r="CA26" i="17"/>
  <c r="CA18" i="17"/>
  <c r="CA10" i="17"/>
  <c r="BY16" i="17"/>
  <c r="BX26" i="17"/>
  <c r="BX18" i="17"/>
  <c r="CH17" i="17"/>
  <c r="CG57" i="17"/>
  <c r="CG49" i="17"/>
  <c r="CG41" i="17"/>
  <c r="CG33" i="17"/>
  <c r="CG25" i="17"/>
  <c r="CG17" i="17"/>
  <c r="BZ10" i="17"/>
  <c r="CE15" i="17"/>
  <c r="CD25" i="17"/>
  <c r="CD17" i="17"/>
  <c r="BW18" i="17"/>
  <c r="BW10" i="17"/>
  <c r="CH48" i="17"/>
  <c r="CH40" i="17"/>
  <c r="CH32" i="17"/>
  <c r="CH24" i="17"/>
  <c r="CH16" i="17"/>
  <c r="CA57" i="17"/>
  <c r="CA49" i="17"/>
  <c r="CA41" i="17"/>
  <c r="CA33" i="17"/>
  <c r="CA25" i="17"/>
  <c r="CA17" i="17"/>
  <c r="CB53" i="17"/>
  <c r="BT50" i="17"/>
  <c r="BT42" i="17"/>
  <c r="BT34" i="17"/>
  <c r="BT26" i="17"/>
  <c r="BT18" i="17"/>
  <c r="BT10" i="17"/>
  <c r="CE16" i="17"/>
  <c r="BX27" i="17"/>
  <c r="BX19" i="17"/>
  <c r="BX11" i="17"/>
  <c r="BQ12" i="17"/>
  <c r="BV17" i="17"/>
  <c r="BU57" i="17"/>
  <c r="BU49" i="17"/>
  <c r="BU41" i="17"/>
  <c r="BU33" i="17"/>
  <c r="BU25" i="17"/>
  <c r="BU17" i="17"/>
  <c r="BS23" i="17"/>
  <c r="BS15" i="17"/>
  <c r="BR25" i="17"/>
  <c r="BR17" i="17"/>
  <c r="CC17" i="17"/>
  <c r="CB57" i="17"/>
  <c r="BV48" i="17"/>
  <c r="BV40" i="17"/>
  <c r="BV32" i="17"/>
  <c r="BV24" i="17"/>
  <c r="BV16" i="17"/>
  <c r="CG56" i="17"/>
  <c r="CG48" i="17"/>
  <c r="CG40" i="17"/>
  <c r="CG32" i="17"/>
  <c r="CG24" i="17"/>
  <c r="CG16" i="17"/>
  <c r="BZ57" i="17"/>
  <c r="BZ49" i="17"/>
  <c r="BZ41" i="17"/>
  <c r="BZ33" i="17"/>
  <c r="BZ25" i="17"/>
  <c r="BZ17" i="17"/>
  <c r="BS24" i="17"/>
  <c r="BS16" i="17"/>
  <c r="CD26" i="17"/>
  <c r="CD18" i="17"/>
  <c r="CD10" i="17"/>
  <c r="BW11" i="17"/>
  <c r="CB16" i="17"/>
  <c r="CA56" i="17"/>
  <c r="CA48" i="17"/>
  <c r="CA40" i="17"/>
  <c r="CA32" i="17"/>
  <c r="CA24" i="17"/>
  <c r="CA16" i="17"/>
  <c r="BY22" i="17"/>
  <c r="BY14" i="17"/>
  <c r="BX24" i="17"/>
  <c r="BX16" i="17"/>
  <c r="BQ17" i="17"/>
  <c r="CH56" i="17"/>
  <c r="CB47" i="17"/>
  <c r="CB39" i="17"/>
  <c r="CB31" i="17"/>
  <c r="CB23" i="17"/>
  <c r="CB15" i="17"/>
  <c r="BU56" i="17"/>
  <c r="BU48" i="17"/>
  <c r="BU40" i="17"/>
  <c r="BU32" i="17"/>
  <c r="BU24" i="17"/>
  <c r="BU16" i="17"/>
  <c r="CF56" i="17"/>
  <c r="CF48" i="17"/>
  <c r="CF40" i="17"/>
  <c r="CF32" i="17"/>
  <c r="CF24" i="17"/>
  <c r="CF16" i="17"/>
  <c r="BY23" i="17"/>
  <c r="BY15" i="17"/>
  <c r="BR26" i="17"/>
  <c r="BR18" i="17"/>
  <c r="BR10" i="17"/>
  <c r="CC10" i="17"/>
  <c r="CH15" i="17"/>
  <c r="CG55" i="17"/>
  <c r="CG47" i="17"/>
  <c r="CG39" i="17"/>
  <c r="CG31" i="17"/>
  <c r="CG23" i="17"/>
  <c r="CG15" i="17"/>
  <c r="CE21" i="17"/>
  <c r="CE13" i="17"/>
  <c r="CD23" i="17"/>
  <c r="CD15" i="17"/>
  <c r="BW16" i="17"/>
  <c r="BV56" i="17"/>
  <c r="CH46" i="17"/>
  <c r="CH38" i="17"/>
  <c r="CH30" i="17"/>
  <c r="CH22" i="17"/>
  <c r="CH14" i="17"/>
  <c r="CA55" i="17"/>
  <c r="CA47" i="17"/>
  <c r="CA39" i="17"/>
  <c r="CA31" i="17"/>
  <c r="CA23" i="17"/>
  <c r="CA15" i="17"/>
  <c r="BT56" i="17"/>
  <c r="BT48" i="17"/>
  <c r="BT40" i="17"/>
  <c r="BT32" i="17"/>
  <c r="BT24" i="17"/>
  <c r="BT16" i="17"/>
  <c r="CE22" i="17"/>
  <c r="CE14" i="17"/>
  <c r="BX25" i="17"/>
  <c r="BX17" i="17"/>
  <c r="BQ18" i="17"/>
  <c r="BV15" i="17"/>
  <c r="BU55" i="17"/>
  <c r="BU47" i="17"/>
  <c r="BU39" i="17"/>
  <c r="BU31" i="17"/>
  <c r="BU23" i="17"/>
  <c r="BU15" i="17"/>
  <c r="BS21" i="17"/>
  <c r="BS13" i="17"/>
  <c r="BR23" i="17"/>
  <c r="BR15" i="17"/>
  <c r="CC15" i="17"/>
  <c r="CB55" i="17"/>
  <c r="BV46" i="17"/>
  <c r="BV38" i="17"/>
  <c r="BV30" i="17"/>
  <c r="BV22" i="17"/>
  <c r="BV14" i="17"/>
  <c r="CG54" i="17"/>
  <c r="CG46" i="17"/>
  <c r="CG38" i="17"/>
  <c r="CG30" i="17"/>
  <c r="CG22" i="17"/>
  <c r="CG14" i="17"/>
  <c r="BZ55" i="17"/>
  <c r="BZ47" i="17"/>
  <c r="BZ39" i="17"/>
  <c r="BZ31" i="17"/>
  <c r="BZ23" i="17"/>
  <c r="BZ15" i="17"/>
  <c r="BS22" i="17"/>
  <c r="BS14" i="17"/>
  <c r="CD24" i="17"/>
  <c r="CD16" i="17"/>
  <c r="BW17" i="17"/>
  <c r="CB14" i="17"/>
  <c r="CA54" i="17"/>
  <c r="CA46" i="17"/>
  <c r="CA38" i="17"/>
  <c r="CA30" i="17"/>
  <c r="CA22" i="17"/>
  <c r="CA14" i="17"/>
  <c r="BY20" i="17"/>
  <c r="BY12" i="17"/>
  <c r="BX22" i="17"/>
  <c r="BX14" i="17"/>
  <c r="BQ15" i="17"/>
  <c r="CH54" i="17"/>
  <c r="CB45" i="17"/>
  <c r="CB37" i="17"/>
  <c r="CB29" i="17"/>
  <c r="CB21" i="17"/>
  <c r="CB13" i="17"/>
  <c r="BU54" i="17"/>
  <c r="BU46" i="17"/>
  <c r="BU38" i="17"/>
  <c r="BU30" i="17"/>
  <c r="BU22" i="17"/>
  <c r="BU14" i="17"/>
  <c r="CF54" i="17"/>
  <c r="CF46" i="17"/>
  <c r="CF38" i="17"/>
  <c r="CF30" i="17"/>
  <c r="CF22" i="17"/>
  <c r="CF14" i="17"/>
  <c r="BY21" i="17"/>
  <c r="BY13" i="17"/>
  <c r="BR24" i="17"/>
  <c r="BR16" i="17"/>
  <c r="CC16" i="17"/>
  <c r="BV13" i="17"/>
  <c r="BU53" i="17"/>
  <c r="BU45" i="17"/>
  <c r="BU37" i="17"/>
  <c r="BU29" i="17"/>
  <c r="BU21" i="17"/>
  <c r="BU13" i="17"/>
  <c r="BS19" i="17"/>
  <c r="BS11" i="17"/>
  <c r="BR21" i="17"/>
  <c r="BR13" i="17"/>
  <c r="CC13" i="17"/>
  <c r="CH52" i="17"/>
  <c r="BV44" i="17"/>
  <c r="BV36" i="17"/>
  <c r="BV28" i="17"/>
  <c r="BV20" i="17"/>
  <c r="BV12" i="17"/>
  <c r="CG52" i="17"/>
  <c r="CG44" i="17"/>
  <c r="CG36" i="17"/>
  <c r="CG28" i="17"/>
  <c r="CG20" i="17"/>
  <c r="CG12" i="17"/>
  <c r="BZ53" i="17"/>
  <c r="BZ45" i="17"/>
  <c r="BZ37" i="17"/>
  <c r="BZ29" i="17"/>
  <c r="BZ21" i="17"/>
  <c r="BZ13" i="17"/>
  <c r="BS20" i="17"/>
  <c r="BS12" i="17"/>
  <c r="CD22" i="17"/>
  <c r="CD14" i="17"/>
  <c r="BW15" i="17"/>
  <c r="CH13" i="17"/>
  <c r="CG29" i="17"/>
  <c r="CE11" i="17"/>
  <c r="BW12" i="17"/>
  <c r="CH34" i="17"/>
  <c r="CH10" i="17"/>
  <c r="CA35" i="17"/>
  <c r="CA11" i="17"/>
  <c r="BT36" i="17"/>
  <c r="BT12" i="17"/>
  <c r="BX21" i="17"/>
  <c r="CA52" i="17"/>
  <c r="CH26" i="17"/>
  <c r="CA27" i="17"/>
  <c r="BX13" i="17"/>
  <c r="CG51" i="17"/>
  <c r="BU50" i="17"/>
  <c r="CF50" i="17"/>
  <c r="BY17" i="17"/>
  <c r="BU44" i="17"/>
  <c r="CB17" i="17"/>
  <c r="CF18" i="17"/>
  <c r="CB35" i="17"/>
  <c r="CB12" i="17"/>
  <c r="CA28" i="17"/>
  <c r="BY10" i="17"/>
  <c r="BQ11" i="17"/>
  <c r="CB33" i="17"/>
  <c r="BV52" i="17"/>
  <c r="BU34" i="17"/>
  <c r="BU10" i="17"/>
  <c r="CF34" i="17"/>
  <c r="CF10" i="17"/>
  <c r="BR20" i="17"/>
  <c r="BX20" i="17"/>
  <c r="BT28" i="17"/>
  <c r="CD19" i="17"/>
  <c r="BU26" i="17"/>
  <c r="BR12" i="17"/>
  <c r="CB43" i="17"/>
  <c r="CC14" i="17"/>
  <c r="CE19" i="17"/>
  <c r="BR28" i="17"/>
  <c r="BW14" i="17"/>
  <c r="CA13" i="17"/>
  <c r="CB11" i="17"/>
  <c r="CF36" i="17"/>
  <c r="CH11" i="17"/>
  <c r="CG27" i="17"/>
  <c r="CD27" i="17"/>
  <c r="BV54" i="17"/>
  <c r="CH28" i="17"/>
  <c r="CA53" i="17"/>
  <c r="CA29" i="17"/>
  <c r="BT54" i="17"/>
  <c r="BT30" i="17"/>
  <c r="CE20" i="17"/>
  <c r="BX15" i="17"/>
  <c r="BR14" i="17"/>
  <c r="CA20" i="17"/>
  <c r="CH50" i="17"/>
  <c r="CA51" i="17"/>
  <c r="CE18" i="17"/>
  <c r="CG19" i="17"/>
  <c r="CB25" i="17"/>
  <c r="CF26" i="17"/>
  <c r="BU20" i="17"/>
  <c r="CG37" i="17"/>
  <c r="BU18" i="17"/>
  <c r="CA36" i="17"/>
  <c r="CA37" i="17"/>
  <c r="BX23" i="17"/>
  <c r="CE17" i="17"/>
  <c r="BU12" i="17"/>
  <c r="BR22" i="17"/>
  <c r="CG53" i="17"/>
  <c r="CG21" i="17"/>
  <c r="CD21" i="17"/>
  <c r="CB51" i="17"/>
  <c r="CB27" i="17"/>
  <c r="BU52" i="17"/>
  <c r="BU28" i="17"/>
  <c r="CF52" i="17"/>
  <c r="CF28" i="17"/>
  <c r="BY19" i="17"/>
  <c r="BT52" i="17"/>
  <c r="CB49" i="17"/>
  <c r="CF44" i="17"/>
  <c r="BX10" i="17"/>
  <c r="CH12" i="17"/>
  <c r="BQ13" i="17"/>
  <c r="CG45" i="17"/>
  <c r="CG13" i="17"/>
  <c r="CD13" i="17"/>
  <c r="CH44" i="17"/>
  <c r="CH20" i="17"/>
  <c r="CA45" i="17"/>
  <c r="CA21" i="17"/>
  <c r="BT46" i="17"/>
  <c r="BT22" i="17"/>
  <c r="CE12" i="17"/>
  <c r="BQ16" i="17"/>
  <c r="CA44" i="17"/>
  <c r="CA12" i="17"/>
  <c r="BX12" i="17"/>
  <c r="CB19" i="17"/>
  <c r="CF20" i="17"/>
  <c r="BY11" i="17"/>
  <c r="CB41" i="17"/>
  <c r="CF42" i="17"/>
  <c r="CC12" i="17"/>
  <c r="BY18" i="17"/>
  <c r="BT38" i="17"/>
  <c r="CG35" i="17"/>
  <c r="BU36" i="17"/>
  <c r="CF12" i="17"/>
  <c r="CG43" i="17"/>
  <c r="CG11" i="17"/>
  <c r="CD11" i="17"/>
  <c r="CH42" i="17"/>
  <c r="CH18" i="17"/>
  <c r="CA43" i="17"/>
  <c r="CA19" i="17"/>
  <c r="BT44" i="17"/>
  <c r="BT20" i="17"/>
  <c r="CE10" i="17"/>
  <c r="BQ14" i="17"/>
  <c r="BU42" i="17"/>
  <c r="CH36" i="17"/>
  <c r="BT14" i="17"/>
  <c r="BK85" i="9"/>
  <c r="BM85" i="9" s="1"/>
  <c r="BK102" i="9"/>
  <c r="BM102" i="9" s="1"/>
  <c r="CK55" i="17" l="1"/>
  <c r="CK31" i="17"/>
  <c r="CM31" i="17" s="1"/>
  <c r="CK40" i="17"/>
  <c r="CM40" i="17" s="1"/>
  <c r="CK35" i="17"/>
  <c r="CM35" i="17" s="1"/>
  <c r="CK46" i="17"/>
  <c r="CM46" i="17" s="1"/>
  <c r="CK18" i="17"/>
  <c r="CM18" i="17" s="1"/>
  <c r="CK49" i="17"/>
  <c r="CM49" i="17" s="1"/>
  <c r="CK34" i="17"/>
  <c r="CM34" i="17" s="1"/>
  <c r="CK41" i="17"/>
  <c r="CM41" i="17" s="1"/>
  <c r="CK50" i="17"/>
  <c r="CM50" i="17" s="1"/>
  <c r="CK36" i="17"/>
  <c r="CM36" i="17" s="1"/>
  <c r="CK48" i="17"/>
  <c r="CM48" i="17" s="1"/>
  <c r="CK28" i="17"/>
  <c r="CM28" i="17" s="1"/>
  <c r="CK39" i="17"/>
  <c r="CM39" i="17" s="1"/>
  <c r="CK45" i="17"/>
  <c r="CM45" i="17" s="1"/>
  <c r="CK38" i="17"/>
  <c r="CM38" i="17" s="1"/>
  <c r="CK24" i="17"/>
  <c r="CM24" i="17" s="1"/>
  <c r="CK15" i="17"/>
  <c r="CM15" i="17" s="1"/>
  <c r="CK17" i="17"/>
  <c r="CM17" i="17" s="1"/>
  <c r="CK21" i="17"/>
  <c r="CM21" i="17" s="1"/>
  <c r="CK43" i="17"/>
  <c r="CM43" i="17" s="1"/>
  <c r="CK47" i="17"/>
  <c r="CM47" i="17" s="1"/>
  <c r="CK12" i="17"/>
  <c r="CM12" i="17" s="1"/>
  <c r="CK33" i="17"/>
  <c r="CM33" i="17" s="1"/>
  <c r="CK25" i="17"/>
  <c r="CM25" i="17" s="1"/>
  <c r="CK37" i="17"/>
  <c r="CM37" i="17" s="1"/>
  <c r="CK22" i="17"/>
  <c r="CM22" i="17" s="1"/>
  <c r="CK26" i="17"/>
  <c r="CM26" i="17" s="1"/>
  <c r="CK13" i="17"/>
  <c r="CM13" i="17" s="1"/>
  <c r="CK10" i="17"/>
  <c r="CM10" i="17" s="1"/>
  <c r="CK53" i="17"/>
  <c r="CM53" i="17" s="1"/>
  <c r="CK29" i="17"/>
  <c r="CM29" i="17" s="1"/>
  <c r="CK54" i="17"/>
  <c r="CM54" i="17" s="1"/>
  <c r="CK44" i="17"/>
  <c r="CM44" i="17" s="1"/>
  <c r="CK16" i="17"/>
  <c r="CM16" i="17" s="1"/>
  <c r="CK51" i="17"/>
  <c r="CM51" i="17" s="1"/>
  <c r="CK14" i="17"/>
  <c r="CM14" i="17" s="1"/>
  <c r="CK32" i="17"/>
  <c r="CM32" i="17" s="1"/>
  <c r="CK30" i="17"/>
  <c r="CM30" i="17" s="1"/>
  <c r="CK11" i="17"/>
  <c r="CM11" i="17" s="1"/>
  <c r="CK23" i="17"/>
  <c r="CM23" i="17" s="1"/>
  <c r="CK27" i="17"/>
  <c r="CM27" i="17" s="1"/>
  <c r="CK20" i="17"/>
  <c r="CM20" i="17" s="1"/>
  <c r="CK42" i="17"/>
  <c r="CM42" i="17" s="1"/>
  <c r="CK19" i="17"/>
  <c r="CM19" i="17" s="1"/>
  <c r="CK52" i="17"/>
  <c r="CM52" i="17" s="1"/>
  <c r="BM106"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AN14" authorId="0" shapeId="0" xr:uid="{00000000-0006-0000-0200-000001000000}">
      <text>
        <r>
          <rPr>
            <b/>
            <sz val="8"/>
            <color indexed="81"/>
            <rFont val="Tahoma"/>
            <family val="2"/>
          </rPr>
          <t>Staff:</t>
        </r>
        <r>
          <rPr>
            <sz val="8"/>
            <color indexed="81"/>
            <rFont val="Tahoma"/>
            <family val="2"/>
          </rPr>
          <t xml:space="preserve">
Purchased electricity declines from 1998 to 1999 while generated less sold rises from 14.0 to 16.2 thousand kWh.  The 1999 behavior is likely due to low oil price that makes it less expensive to self-generate.  Adjustment is made to keep generated less sold somewhat constant over the 1998 to 2001 time frame.  Thus, self-generated is reduced by 2 MWh, and purchased electricity is increased by 6%.  See Table 4 in 2001 ASM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U34" authorId="0" shapeId="0" xr:uid="{00000000-0006-0000-0300-000001000000}">
      <text>
        <r>
          <rPr>
            <b/>
            <sz val="8"/>
            <color indexed="81"/>
            <rFont val="Tahoma"/>
            <family val="2"/>
          </rPr>
          <t>Staff:</t>
        </r>
        <r>
          <rPr>
            <sz val="8"/>
            <color indexed="81"/>
            <rFont val="Tahoma"/>
            <family val="2"/>
          </rPr>
          <t xml:space="preserve">
Adjust to roughly linearly interpolate between 1998 and 2001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U34" authorId="0" shapeId="0" xr:uid="{00000000-0006-0000-0400-000001000000}">
      <text>
        <r>
          <rPr>
            <b/>
            <sz val="8"/>
            <color indexed="81"/>
            <rFont val="Tahoma"/>
            <family val="2"/>
          </rPr>
          <t>Staff:</t>
        </r>
        <r>
          <rPr>
            <sz val="8"/>
            <color indexed="81"/>
            <rFont val="Tahoma"/>
            <family val="2"/>
          </rPr>
          <t xml:space="preserve">
Adjust to roughly linearly interpolate between 1998 and 2001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AN14" authorId="0" shapeId="0" xr:uid="{00000000-0006-0000-0500-000001000000}">
      <text>
        <r>
          <rPr>
            <b/>
            <sz val="8"/>
            <color indexed="81"/>
            <rFont val="Tahoma"/>
            <family val="2"/>
          </rPr>
          <t>Staff:</t>
        </r>
        <r>
          <rPr>
            <sz val="8"/>
            <color indexed="81"/>
            <rFont val="Tahoma"/>
            <family val="2"/>
          </rPr>
          <t xml:space="preserve">
Purchased electricity declines from 1998 to 1999 while generated less sold rises from 14.0 to 16.2 thousand kWh.  The 1999 behavior is likely due to low oil price that makes it less expensive to self-generate.  Adjustment is made to keep generated less sold somewhat constant over the 1998 to 2001 time frame.  Thus, self-generated is reduced by 2 MWh, and purchased electricity is increased by 6%.  See Table 4 in 2001 ASM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AH106" authorId="0" shapeId="0" xr:uid="{00000000-0006-0000-0800-000001000000}">
      <text>
        <r>
          <rPr>
            <b/>
            <sz val="8"/>
            <color indexed="81"/>
            <rFont val="Tahoma"/>
            <family val="2"/>
          </rPr>
          <t>Staff:</t>
        </r>
        <r>
          <rPr>
            <sz val="8"/>
            <color indexed="81"/>
            <rFont val="Tahoma"/>
            <family val="2"/>
          </rPr>
          <t xml:space="preserve">
D. Belzer:  Sum 3841,3842,3843 on 1987 basis.  Would likely be higher than sum shown here if electromedical equipment were included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AO109" authorId="0" shapeId="0" xr:uid="{00000000-0006-0000-0900-000001000000}">
      <text>
        <r>
          <rPr>
            <b/>
            <sz val="8"/>
            <color indexed="81"/>
            <rFont val="Tahoma"/>
            <family val="2"/>
          </rPr>
          <t>Staff:</t>
        </r>
        <r>
          <rPr>
            <sz val="8"/>
            <color indexed="81"/>
            <rFont val="Tahoma"/>
            <family val="2"/>
          </rPr>
          <t xml:space="preserve">
D. Belzer:  Sum 3841,3842,3843 on 1987 basis.  Would likely be higher than sum shown here if electromedical equipment were included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AH108" authorId="0" shapeId="0" xr:uid="{00000000-0006-0000-0B00-000001000000}">
      <text>
        <r>
          <rPr>
            <b/>
            <sz val="8"/>
            <color indexed="81"/>
            <rFont val="Tahoma"/>
            <family val="2"/>
          </rPr>
          <t>Staff:</t>
        </r>
        <r>
          <rPr>
            <sz val="8"/>
            <color indexed="81"/>
            <rFont val="Tahoma"/>
            <family val="2"/>
          </rPr>
          <t xml:space="preserve">
D. Belzer:  Sum 3841,3842,3843 on 1987 basis.  Would likely be higher than sum shown here if electromedical equipment were included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Staff</author>
  </authors>
  <commentList>
    <comment ref="AO110" authorId="0" shapeId="0" xr:uid="{00000000-0006-0000-0C00-000001000000}">
      <text>
        <r>
          <rPr>
            <b/>
            <sz val="8"/>
            <color indexed="81"/>
            <rFont val="Tahoma"/>
            <family val="2"/>
          </rPr>
          <t>Staff:</t>
        </r>
        <r>
          <rPr>
            <sz val="8"/>
            <color indexed="81"/>
            <rFont val="Tahoma"/>
            <family val="2"/>
          </rPr>
          <t xml:space="preserve">
D. Belzer:  Sum 3841,3842,3843 on 1987 basis.  Would likely be higher than sum shown here if electromedical equipment were included
</t>
        </r>
      </text>
    </comment>
  </commentList>
</comments>
</file>

<file path=xl/sharedStrings.xml><?xml version="1.0" encoding="utf-8"?>
<sst xmlns="http://schemas.openxmlformats.org/spreadsheetml/2006/main" count="1625" uniqueCount="464">
  <si>
    <t>output</t>
  </si>
  <si>
    <t>off;</t>
  </si>
  <si>
    <t>Sector #</t>
  </si>
  <si>
    <t>Indicators</t>
  </si>
  <si>
    <t xml:space="preserve">  Total</t>
  </si>
  <si>
    <t xml:space="preserve">  Tbtu</t>
  </si>
  <si>
    <t xml:space="preserve"> Share</t>
  </si>
  <si>
    <t xml:space="preserve"> Adj. 323</t>
  </si>
  <si>
    <t>339 Misc.  (Medical equipment and opthalmic)</t>
  </si>
  <si>
    <t xml:space="preserve"> 323 Printing (publishing)</t>
  </si>
  <si>
    <t>Adj 334</t>
  </si>
  <si>
    <t>Adj 339</t>
  </si>
  <si>
    <t>311-312</t>
  </si>
  <si>
    <t>313-314</t>
  </si>
  <si>
    <t>315-316</t>
  </si>
  <si>
    <t>336 Transportation Equipment</t>
  </si>
  <si>
    <t>Adj 335</t>
  </si>
  <si>
    <t>Adj 333</t>
  </si>
  <si>
    <t>1987 SIC</t>
  </si>
  <si>
    <t>Adj 332</t>
  </si>
  <si>
    <t>Adj. 336</t>
  </si>
  <si>
    <t xml:space="preserve">Fabricated Metals (add) </t>
  </si>
  <si>
    <t>From NEA.HaP -1985</t>
  </si>
  <si>
    <t>Electricity</t>
  </si>
  <si>
    <t>Revise 1985-1987 with ASM2 file used for 1994-5 Trends work</t>
  </si>
  <si>
    <t>Revise 1985 to 1987 with numbers punched from ASM's in 2010</t>
  </si>
  <si>
    <t>Correct 336 - Use total for SIC 37</t>
  </si>
  <si>
    <t>Final Estimates</t>
  </si>
  <si>
    <t>From ASMT4</t>
  </si>
  <si>
    <t>Adjustments where there are 4-digit series consistent over 1977 to 1987</t>
  </si>
  <si>
    <t xml:space="preserve">From ASM 1987-2008 series </t>
  </si>
  <si>
    <t>Used 1985 NEA directly</t>
  </si>
  <si>
    <t xml:space="preserve">From ASMdata 1987-2008 series </t>
  </si>
  <si>
    <t>TBTU (MECS Published)</t>
  </si>
  <si>
    <t>Net Elec</t>
  </si>
  <si>
    <t>Net Elec (TBTU)</t>
  </si>
  <si>
    <t>Total Fuel</t>
  </si>
  <si>
    <t>Other (Total - Net Elec, Gas, Oil, Coal)</t>
  </si>
  <si>
    <t>MECS</t>
  </si>
  <si>
    <t>Reorder and aggregate for extrapolation</t>
  </si>
  <si>
    <t>Extrapolators</t>
  </si>
  <si>
    <t>Table A4, Pt 1.</t>
  </si>
  <si>
    <t>Total without 21, 31</t>
  </si>
  <si>
    <t>Published Total</t>
  </si>
  <si>
    <t>(NAICS Basis)</t>
  </si>
  <si>
    <t>(SIC, but ordered as NAICS &amp; includes 38)</t>
  </si>
  <si>
    <t>30.9 out 658.7 for computers in SIC 35 in 1996, assign 5% of fuel</t>
  </si>
  <si>
    <t>11.0 out of 658.7 for carburetors in SIC 35</t>
  </si>
  <si>
    <t>98.8 out of 658.7 for machine shops in SIC 35, to 332</t>
  </si>
  <si>
    <t>27.4 out of 219.1 for 381 (nav eqp) in SIC 38, to 334</t>
  </si>
  <si>
    <t>for 3821,3841+3842+3843+3851</t>
  </si>
  <si>
    <t>Total for SIC 38</t>
  </si>
  <si>
    <t>for 382 going into 334</t>
  </si>
  <si>
    <t>67.8 out 1029.6 for stampings (3465), to 336</t>
  </si>
  <si>
    <t xml:space="preserve">Mapping based upon 1986 ASM Cost of Purchased Fuels </t>
  </si>
  <si>
    <t>for 3647, 3694 to 336 out of SIC 36</t>
  </si>
  <si>
    <t>for 365,366,367,3695 to 333 out of 526.3</t>
  </si>
  <si>
    <t xml:space="preserve">Initial </t>
  </si>
  <si>
    <t>Preliminary Estimate</t>
  </si>
  <si>
    <t>Actual</t>
  </si>
  <si>
    <t>Prelim Estimate</t>
  </si>
  <si>
    <t>SIC Basis</t>
  </si>
  <si>
    <t>Final Estimate</t>
  </si>
  <si>
    <t>Scale Factor</t>
  </si>
  <si>
    <t>for 3827,3861 to 333</t>
  </si>
  <si>
    <t>for 3829,3844,3845,3871 into 334</t>
  </si>
  <si>
    <t>ok</t>
  </si>
  <si>
    <t>siC 38</t>
  </si>
  <si>
    <t>X128</t>
  </si>
  <si>
    <t>X129</t>
  </si>
  <si>
    <t>X130</t>
  </si>
  <si>
    <t>X131</t>
  </si>
  <si>
    <t>X132</t>
  </si>
  <si>
    <t>X133</t>
  </si>
  <si>
    <t>X134</t>
  </si>
  <si>
    <t>X126</t>
  </si>
  <si>
    <t>X127</t>
  </si>
  <si>
    <t>Initial</t>
  </si>
  <si>
    <t>Adjusted</t>
  </si>
  <si>
    <t>Total for 38 to 334</t>
  </si>
  <si>
    <t>Not Used</t>
  </si>
  <si>
    <t>Adjusted Estimate</t>
  </si>
  <si>
    <t>Adjusted mapping for 1988</t>
  </si>
  <si>
    <t>39.8 out 622.4 for computers in SIC 35 in 1996, assign 5% of fuel</t>
  </si>
  <si>
    <t>12.5 out of 622.4 for carburetors in SIC 35</t>
  </si>
  <si>
    <t>70.1 out of 622.4 for machine shops in SIC 35, to 332</t>
  </si>
  <si>
    <t>29.5 out of 207.3 for 381 (nav eqp) in SIC 38, to 334</t>
  </si>
  <si>
    <t>62.4 out 934.9 for stampings (3465), to 336</t>
  </si>
  <si>
    <t>for 365,366,367,3695 to 333 out of 435</t>
  </si>
  <si>
    <t>Data from above</t>
  </si>
  <si>
    <t>Adjusted Estimated</t>
  </si>
  <si>
    <t>`</t>
  </si>
  <si>
    <t>Table 3</t>
  </si>
  <si>
    <t>SIC-Basis</t>
  </si>
  <si>
    <t xml:space="preserve">Aggregate </t>
  </si>
  <si>
    <t>(NAICS basis)</t>
  </si>
  <si>
    <t>Table 3.1</t>
  </si>
  <si>
    <t>Old</t>
  </si>
  <si>
    <t>New</t>
  </si>
  <si>
    <t>From ASM Data</t>
  </si>
  <si>
    <t>Interpolation ratios</t>
  </si>
  <si>
    <t>From 1994 Trends Work</t>
  </si>
  <si>
    <t>ASM</t>
  </si>
  <si>
    <t>Cost of Purchased Fuels</t>
  </si>
  <si>
    <t>Formulas</t>
  </si>
  <si>
    <t>321</t>
  </si>
  <si>
    <t>322</t>
  </si>
  <si>
    <t>323</t>
  </si>
  <si>
    <t>324</t>
  </si>
  <si>
    <t>325</t>
  </si>
  <si>
    <t>326</t>
  </si>
  <si>
    <t>327</t>
  </si>
  <si>
    <t>331</t>
  </si>
  <si>
    <t>332</t>
  </si>
  <si>
    <t>333</t>
  </si>
  <si>
    <t>334</t>
  </si>
  <si>
    <t>335</t>
  </si>
  <si>
    <t>336</t>
  </si>
  <si>
    <t>337</t>
  </si>
  <si>
    <t>339</t>
  </si>
  <si>
    <t>Link Ratio</t>
  </si>
  <si>
    <t xml:space="preserve">  Total (Tbtu)</t>
  </si>
  <si>
    <t xml:space="preserve">  Total (kWh)</t>
  </si>
  <si>
    <t>SIC 20</t>
  </si>
  <si>
    <t>Petroleum</t>
  </si>
  <si>
    <t>To 3812</t>
  </si>
  <si>
    <t>from 3662</t>
  </si>
  <si>
    <t>from 3693</t>
  </si>
  <si>
    <t>to 3844,3845</t>
  </si>
  <si>
    <t>Revised 3599</t>
  </si>
  <si>
    <t>Convert to Btu</t>
  </si>
  <si>
    <t>employmen: file bbg96_87  (Used to extrapolate from 1987 to 1986 the electricity consumption for 3599</t>
  </si>
  <si>
    <t>Industrial patterns (3543)</t>
  </si>
  <si>
    <t>Ratio with total SIC 35</t>
  </si>
  <si>
    <t>Tbtu</t>
  </si>
  <si>
    <t>Transpose</t>
  </si>
  <si>
    <t>Fuel price interpolation</t>
  </si>
  <si>
    <t xml:space="preserve">Electricity </t>
  </si>
  <si>
    <t>Elec-Interp.</t>
  </si>
  <si>
    <t>Price Interp</t>
  </si>
  <si>
    <t/>
  </si>
  <si>
    <t>Price-Interp.</t>
  </si>
  <si>
    <t>AER</t>
  </si>
  <si>
    <t>Elec</t>
  </si>
  <si>
    <t>wgt-elec</t>
  </si>
  <si>
    <t>wgt-fuel</t>
  </si>
  <si>
    <t>composite</t>
  </si>
  <si>
    <t>Mix</t>
  </si>
  <si>
    <t>Adj 321,337</t>
  </si>
  <si>
    <t>shr of 321</t>
  </si>
  <si>
    <t>Adjust</t>
  </si>
  <si>
    <t xml:space="preserve"> use share from electricity analysis</t>
  </si>
  <si>
    <t>Fuel Consumption for Heat, Power, &amp; Electricity Generation (benchmarked to MECS data in MECS years)</t>
  </si>
  <si>
    <t>Electricity From ASM Data - Used to Interpolate for non-MECS years</t>
  </si>
  <si>
    <t>Correlation</t>
  </si>
  <si>
    <t>to AER</t>
  </si>
  <si>
    <t>(Note: Weighted average never exceed correlation using elec. Consumption for non-MECS years)</t>
  </si>
  <si>
    <t>Mix = Use elec-interpolated series for NAICS 324,325</t>
  </si>
  <si>
    <t>Electricity consumption interpolation</t>
  </si>
  <si>
    <t>Interpolated by Electricity</t>
  </si>
  <si>
    <t>Farms</t>
  </si>
  <si>
    <t>Ag. Services</t>
  </si>
  <si>
    <t>Metal Mining</t>
  </si>
  <si>
    <t>Coal Mining</t>
  </si>
  <si>
    <t>Oil/Gas Extraction</t>
  </si>
  <si>
    <t>Nonmetallic mineral mining</t>
  </si>
  <si>
    <t>Construction</t>
  </si>
  <si>
    <t>Mobile Homes</t>
  </si>
  <si>
    <t>Other Wood Products</t>
  </si>
  <si>
    <t>Prefabricated Wood Buildings</t>
  </si>
  <si>
    <t>Household Furniture</t>
  </si>
  <si>
    <t>Other Furniture</t>
  </si>
  <si>
    <t>Glass and Glass Products</t>
  </si>
  <si>
    <t>Cement</t>
  </si>
  <si>
    <t>Stone and Clay Products</t>
  </si>
  <si>
    <t>Blast Furnaces, Basic Steel</t>
  </si>
  <si>
    <t>Other Iron and Steel Products</t>
  </si>
  <si>
    <t>Other Nonferrous Metals</t>
  </si>
  <si>
    <t>Ordnance</t>
  </si>
  <si>
    <t>Forgings</t>
  </si>
  <si>
    <t>Metal Containers</t>
  </si>
  <si>
    <t>Screw Machine Products</t>
  </si>
  <si>
    <t>Metal Stampings</t>
  </si>
  <si>
    <t>Other Fabricated Metal Products</t>
  </si>
  <si>
    <t>Engines and Turbines</t>
  </si>
  <si>
    <t>Farm and Garden Machinery</t>
  </si>
  <si>
    <t>Construction and Mining Machinery</t>
  </si>
  <si>
    <t>Fabricated Structural Metal Products</t>
  </si>
  <si>
    <t>Materials Handling Machinery</t>
  </si>
  <si>
    <t>Metalworking Machinery</t>
  </si>
  <si>
    <t>Special Industry Machinery</t>
  </si>
  <si>
    <t>General Industrial Machinery</t>
  </si>
  <si>
    <t>Miscellaneous Machinery</t>
  </si>
  <si>
    <t>Office, Computing, and Accout. Machines</t>
  </si>
  <si>
    <t>Service Industry Machines</t>
  </si>
  <si>
    <t>Electrical Transmission Equipment</t>
  </si>
  <si>
    <t>Household Appliances</t>
  </si>
  <si>
    <t>Electric Lighting and Wiring</t>
  </si>
  <si>
    <t>Radio, TV, and Communication Eqp.</t>
  </si>
  <si>
    <t>Electronic Components and Access.</t>
  </si>
  <si>
    <t>Miscellaneous Electrical Machinery</t>
  </si>
  <si>
    <t>Motor Vehicles and Equipment</t>
  </si>
  <si>
    <t>Guided Missile and Space Vehicles</t>
  </si>
  <si>
    <t>Aircraft and Parts</t>
  </si>
  <si>
    <t>Other Transportation Equipment</t>
  </si>
  <si>
    <t>Engineering and Scientific Instruments</t>
  </si>
  <si>
    <t>Optical, Opthalmic, and Photographic</t>
  </si>
  <si>
    <t>Miscellaneous Manufacturing</t>
  </si>
  <si>
    <t>Food and Kindred Products</t>
  </si>
  <si>
    <t>Tobacco Manufactures</t>
  </si>
  <si>
    <t>Broad and Narrow Fabrics</t>
  </si>
  <si>
    <t>Miscellaneous Textile Goods</t>
  </si>
  <si>
    <t>Knitting Mills</t>
  </si>
  <si>
    <t>Apparel made from purchased mat.</t>
  </si>
  <si>
    <t>Miscellaneous Fabricated Textiles</t>
  </si>
  <si>
    <t>Pulp, Paper, and Paperboard Mills</t>
  </si>
  <si>
    <t>Converted Paper Products</t>
  </si>
  <si>
    <t>Paperboard Containers and Boxes</t>
  </si>
  <si>
    <t>Printing and Publishing</t>
  </si>
  <si>
    <t>Industrial Chemicals</t>
  </si>
  <si>
    <t>Fertilizers</t>
  </si>
  <si>
    <t>Pesticides</t>
  </si>
  <si>
    <t>Plastic Materials and Resins</t>
  </si>
  <si>
    <t>Synthetic Rubber</t>
  </si>
  <si>
    <t>Cellulosic Man Made Fibers</t>
  </si>
  <si>
    <t>Drugs, Cleaning and Toilet Prep.</t>
  </si>
  <si>
    <t>Paints and Allied Products</t>
  </si>
  <si>
    <t>Misc. Chemical Products</t>
  </si>
  <si>
    <t>Petroleum Refining</t>
  </si>
  <si>
    <t>Misc. Petroleum and Coal Products</t>
  </si>
  <si>
    <t>Asphalt</t>
  </si>
  <si>
    <t>Rubber and Misc. Plastic Products</t>
  </si>
  <si>
    <t>Leather Tanning and Finishing</t>
  </si>
  <si>
    <t>Footwear and Other Leather Products</t>
  </si>
  <si>
    <t>NEA Sector</t>
  </si>
  <si>
    <t>NAICS</t>
  </si>
  <si>
    <t>Replace 1985 with data from Census that was used in 1995 study</t>
  </si>
  <si>
    <t xml:space="preserve">Data in gray area based on 75-sector aggregation for 1995 study - no longer directly used </t>
  </si>
  <si>
    <t>Carburetors</t>
  </si>
  <si>
    <t>stampings</t>
  </si>
  <si>
    <t>wood kitchen cabinets</t>
  </si>
  <si>
    <t>1977 Ratios</t>
  </si>
  <si>
    <t xml:space="preserve">   Ratio to auto</t>
  </si>
  <si>
    <t>Final Estimates - Before Scaling</t>
  </si>
  <si>
    <t xml:space="preserve">   Control Total</t>
  </si>
  <si>
    <t xml:space="preserve">   Prelim Total - Little or no scaling</t>
  </si>
  <si>
    <t>Prelim Total</t>
  </si>
  <si>
    <t>Control Total</t>
  </si>
  <si>
    <t>Year</t>
  </si>
  <si>
    <t>Check with current indicators work (6-28-2012)</t>
  </si>
  <si>
    <t xml:space="preserve">    Total 27</t>
  </si>
  <si>
    <t>(Cost of fuels)</t>
  </si>
  <si>
    <t>Tbtu ((2434)</t>
  </si>
  <si>
    <t>Control Total (exclude 323)</t>
  </si>
  <si>
    <t>Exclude 323</t>
  </si>
  <si>
    <t>Still Electricity - lack fuel data at 4-digit SIC</t>
  </si>
  <si>
    <t>from 1995 Trends Work</t>
  </si>
  <si>
    <t>Final selection of interpolation methods</t>
  </si>
  <si>
    <t>From MECS (Interpolated) Data</t>
  </si>
  <si>
    <t>Indicators-Man</t>
  </si>
  <si>
    <t xml:space="preserve">  AER</t>
  </si>
  <si>
    <t>Combine NEA and MECS data</t>
  </si>
  <si>
    <t>column BL was check in Oct 2012 with Ind_hap2_062812!fallhap2.  Row 2, Col. 32, now set to value to clear link</t>
  </si>
  <si>
    <t>Old = ASMdata_120910</t>
  </si>
  <si>
    <t>! Final_Quantities!M28</t>
  </si>
  <si>
    <t>P28</t>
  </si>
  <si>
    <t>S28</t>
  </si>
  <si>
    <t>W28</t>
  </si>
  <si>
    <t>M28</t>
  </si>
  <si>
    <t>AA28</t>
  </si>
  <si>
    <t>AE28</t>
  </si>
  <si>
    <t>ASMData_120910</t>
  </si>
  <si>
    <t xml:space="preserve"> = Final_Quantities!L28</t>
  </si>
  <si>
    <t>Old from ASMData_120910, Final Quantities!M28</t>
  </si>
  <si>
    <t>NOT USED ---&gt;</t>
  </si>
  <si>
    <t>Scale Factors for apparel &amp; leather</t>
  </si>
  <si>
    <t>Table 2.1d  Industrial Sector Energy Consumption Estimates, 1949-2011</t>
  </si>
  <si>
    <t>                        (Billion Btu)</t>
  </si>
  <si>
    <r>
      <t>Primary Consumption </t>
    </r>
    <r>
      <rPr>
        <vertAlign val="superscript"/>
        <sz val="5"/>
        <color theme="1"/>
        <rFont val="Arial"/>
        <family val="2"/>
      </rPr>
      <t>1</t>
    </r>
  </si>
  <si>
    <t>Total</t>
  </si>
  <si>
    <t>Electrical</t>
  </si>
  <si>
    <t>System</t>
  </si>
  <si>
    <t>Fossil Fuels</t>
  </si>
  <si>
    <r>
      <t>Renewable Energy </t>
    </r>
    <r>
      <rPr>
        <vertAlign val="superscript"/>
        <sz val="5"/>
        <color theme="1"/>
        <rFont val="Arial"/>
        <family val="2"/>
      </rPr>
      <t>2</t>
    </r>
  </si>
  <si>
    <t>Retail</t>
  </si>
  <si>
    <t>Energy</t>
  </si>
  <si>
    <r>
      <t>Sales </t>
    </r>
    <r>
      <rPr>
        <vertAlign val="superscript"/>
        <sz val="5"/>
        <color theme="1"/>
        <rFont val="Arial"/>
        <family val="2"/>
      </rPr>
      <t>11</t>
    </r>
  </si>
  <si>
    <r>
      <t>Losses </t>
    </r>
    <r>
      <rPr>
        <vertAlign val="superscript"/>
        <sz val="5"/>
        <color theme="1"/>
        <rFont val="Arial"/>
        <family val="2"/>
      </rPr>
      <t>12</t>
    </r>
  </si>
  <si>
    <t>Coal</t>
  </si>
  <si>
    <t>Coal Coke</t>
  </si>
  <si>
    <t>Natural</t>
  </si>
  <si>
    <r>
      <t>Petroleum </t>
    </r>
    <r>
      <rPr>
        <vertAlign val="superscript"/>
        <sz val="5"/>
        <color theme="1"/>
        <rFont val="Arial"/>
        <family val="2"/>
      </rPr>
      <t>4,5</t>
    </r>
  </si>
  <si>
    <t>Hydroelectric</t>
  </si>
  <si>
    <r>
      <t>Geothermal </t>
    </r>
    <r>
      <rPr>
        <vertAlign val="superscript"/>
        <sz val="5"/>
        <color theme="1"/>
        <rFont val="Arial"/>
        <family val="2"/>
      </rPr>
      <t>7</t>
    </r>
  </si>
  <si>
    <r>
      <t>Solar/PV </t>
    </r>
    <r>
      <rPr>
        <vertAlign val="superscript"/>
        <sz val="5"/>
        <color theme="1"/>
        <rFont val="Arial"/>
        <family val="2"/>
      </rPr>
      <t>8</t>
    </r>
  </si>
  <si>
    <r>
      <t>Wind </t>
    </r>
    <r>
      <rPr>
        <vertAlign val="superscript"/>
        <sz val="5"/>
        <color theme="1"/>
        <rFont val="Arial"/>
        <family val="2"/>
      </rPr>
      <t>9</t>
    </r>
  </si>
  <si>
    <r>
      <t>Biomass </t>
    </r>
    <r>
      <rPr>
        <vertAlign val="superscript"/>
        <sz val="5"/>
        <color theme="1"/>
        <rFont val="Arial"/>
        <family val="2"/>
      </rPr>
      <t>10</t>
    </r>
  </si>
  <si>
    <t>Primary</t>
  </si>
  <si>
    <t>Net Imports</t>
  </si>
  <si>
    <r>
      <t>Gas </t>
    </r>
    <r>
      <rPr>
        <vertAlign val="superscript"/>
        <sz val="5"/>
        <color theme="1"/>
        <rFont val="Arial"/>
        <family val="2"/>
      </rPr>
      <t>3</t>
    </r>
  </si>
  <si>
    <r>
      <t>Power </t>
    </r>
    <r>
      <rPr>
        <vertAlign val="superscript"/>
        <sz val="5"/>
        <color theme="1"/>
        <rFont val="Arial"/>
        <family val="2"/>
      </rPr>
      <t>6</t>
    </r>
  </si>
  <si>
    <t>NA</t>
  </si>
  <si>
    <t></t>
  </si>
  <si>
    <t>[R]</t>
  </si>
  <si>
    <r>
      <t>1</t>
    </r>
    <r>
      <rPr>
        <sz val="7"/>
        <color theme="1"/>
        <rFont val="Arial"/>
        <family val="2"/>
      </rPr>
      <t>See "Primary Energy Consumption" in Glossary.</t>
    </r>
  </si>
  <si>
    <r>
      <t>9</t>
    </r>
    <r>
      <rPr>
        <sz val="7"/>
        <color theme="1"/>
        <rFont val="Arial"/>
        <family val="2"/>
      </rPr>
      <t>Wind electricity net generation (converted to Btu using the fossil-fuels heat ratesee Table A6).</t>
    </r>
  </si>
  <si>
    <r>
      <t>2</t>
    </r>
    <r>
      <rPr>
        <sz val="7"/>
        <color theme="1"/>
        <rFont val="Arial"/>
        <family val="2"/>
      </rPr>
      <t>Most data are estimates.  See Table 10.2b for notes on series components and estimation.</t>
    </r>
  </si>
  <si>
    <r>
      <t>10</t>
    </r>
    <r>
      <rPr>
        <sz val="7"/>
        <color theme="1"/>
        <rFont val="Arial"/>
        <family val="2"/>
      </rPr>
      <t>Wood and wood-derived fuels; municipal solid waste from biogenic sources, landfill gas, sludge waste,</t>
    </r>
  </si>
  <si>
    <t>agricultural byproducts, and other biomass; fuel ethanol (minus denaturant); and losses and co-products from the</t>
  </si>
  <si>
    <t>production of fuel ethanol and biodiesel.  Through 2000, also includes non-renewable waste (municipal solid</t>
  </si>
  <si>
    <t>waste from non-biogenic sources, and tire-derived fuels).</t>
  </si>
  <si>
    <r>
      <t>3</t>
    </r>
    <r>
      <rPr>
        <sz val="7"/>
        <color theme="1"/>
        <rFont val="Arial"/>
        <family val="2"/>
      </rPr>
      <t>Natural gas only; excludes the estimated portion of supplemental gaseous fuels.  See Note 1,</t>
    </r>
  </si>
  <si>
    <r>
      <t>11</t>
    </r>
    <r>
      <rPr>
        <sz val="7"/>
        <color theme="1"/>
        <rFont val="Arial"/>
        <family val="2"/>
      </rPr>
      <t>Electricity retail sales to ultimate customers reported by electric utilities and, beginning in 1996, other energy</t>
    </r>
  </si>
  <si>
    <t>"Supplemental Gaseous Fuels," at end of Section 6.</t>
  </si>
  <si>
    <t>service providers.</t>
  </si>
  <si>
    <r>
      <t>4</t>
    </r>
    <r>
      <rPr>
        <sz val="7"/>
        <color theme="1"/>
        <rFont val="Arial"/>
        <family val="2"/>
      </rPr>
      <t>Based on petroleum product supplied.  For petroleum, product supplied is used as an approximation of</t>
    </r>
  </si>
  <si>
    <r>
      <t>12</t>
    </r>
    <r>
      <rPr>
        <sz val="7"/>
        <color theme="1"/>
        <rFont val="Arial"/>
        <family val="2"/>
      </rPr>
      <t>Total losses are calculated as the primary energy consumed by the electric power sector minus the energy</t>
    </r>
  </si>
  <si>
    <t>petroleum consumption.  See Note 1, "Petroleum Products Supplied and Petroleum Consumption," at end of</t>
  </si>
  <si>
    <t>content of electricity retail sales.  Total losses are allocated to the end-use sectors in proportion to each sector's</t>
  </si>
  <si>
    <t>Section 5.</t>
  </si>
  <si>
    <t>share of total electricity retail sales.  See Note, "Electrical System Energy Losses," at end of section.</t>
  </si>
  <si>
    <r>
      <t>5</t>
    </r>
    <r>
      <rPr>
        <sz val="7"/>
        <color theme="1"/>
        <rFont val="Arial"/>
        <family val="2"/>
      </rPr>
      <t>Does not include biofuels that have been blended with petroleumbiofuels are included in "Biomass." </t>
    </r>
  </si>
  <si>
    <t>R=Revised.  P=Preliminary.  NA=Not available.   =No data reported.  (s)=Less than +0.5 trillion Btu and</t>
  </si>
  <si>
    <t>greater than -0.5 trillion Btu.</t>
  </si>
  <si>
    <r>
      <t>6</t>
    </r>
    <r>
      <rPr>
        <sz val="7"/>
        <color theme="1"/>
        <rFont val="Arial"/>
        <family val="2"/>
      </rPr>
      <t>Conventional hydroelectricity net generation (converted to Btu using the fossil-fuels heat ratesee Table</t>
    </r>
  </si>
  <si>
    <r>
      <t>Notes:  </t>
    </r>
    <r>
      <rPr>
        <sz val="7"/>
        <color theme="1"/>
        <rFont val="Symbol"/>
        <family val="1"/>
        <charset val="2"/>
      </rPr>
      <t>·</t>
    </r>
    <r>
      <rPr>
        <sz val="7"/>
        <color theme="1"/>
        <rFont val="Arial"/>
        <family val="2"/>
      </rPr>
      <t>  The industrial sector includes industrial combined-heat-and-power (CHP) and industrial</t>
    </r>
  </si>
  <si>
    <t>A6).</t>
  </si>
  <si>
    <t>electricity-only plants.  See Note 2, "Classification of Power Plants Into Energy-Use Sectors," at end of Section 8.</t>
  </si>
  <si>
    <r>
      <t> </t>
    </r>
    <r>
      <rPr>
        <sz val="7"/>
        <color theme="1"/>
        <rFont val="Symbol"/>
        <family val="1"/>
        <charset val="2"/>
      </rPr>
      <t>·</t>
    </r>
    <r>
      <rPr>
        <sz val="7"/>
        <color theme="1"/>
        <rFont val="Arial"/>
        <family val="2"/>
      </rPr>
      <t>  Totals may not equal sum of components due to independent rounding.</t>
    </r>
  </si>
  <si>
    <r>
      <t>7</t>
    </r>
    <r>
      <rPr>
        <sz val="7"/>
        <color theme="1"/>
        <rFont val="Arial"/>
        <family val="2"/>
      </rPr>
      <t>Geothermal heat pump and direct use energy.</t>
    </r>
  </si>
  <si>
    <t>Web Page:    See http://www.eia.gov/totalenergy/data/monthly/#consumption for updated monthly and annual</t>
  </si>
  <si>
    <t>data.</t>
  </si>
  <si>
    <r>
      <t>8</t>
    </r>
    <r>
      <rPr>
        <sz val="7"/>
        <color theme="1"/>
        <rFont val="Arial"/>
        <family val="2"/>
      </rPr>
      <t>Photovoltaic (PV) electricity net generation (converted to Btu using the fossil-fuels heat ratesee Table A6)</t>
    </r>
  </si>
  <si>
    <t>Sources:  Tables 2.1f, 5.14b, 6.5, 7.3, 7.8, 8.9, 10.2b, A4, A5, and A6.</t>
  </si>
  <si>
    <t>at industrial plants with capacity of 1 megawatt or greater.</t>
  </si>
  <si>
    <t xml:space="preserve"> '(N490)</t>
  </si>
  <si>
    <t xml:space="preserve"> '(N496)</t>
  </si>
  <si>
    <t>&lt;--- cell references in sheet conch_sh.</t>
  </si>
  <si>
    <t>Adjust Instruments and Electrical machinery, from file: conch_sh_indicators.  This file is a concordance between 1972 and 1987 SICs</t>
  </si>
  <si>
    <t xml:space="preserve">Data from the Manfacturing </t>
  </si>
  <si>
    <t>Intensity Study, 1994-1995</t>
  </si>
  <si>
    <t>SIC-Basis, but ordered as NAICS</t>
  </si>
  <si>
    <t>Final Estimate - Not Aggregated, and not scaled</t>
  </si>
  <si>
    <t>Go to cell BS79 to see selection made</t>
  </si>
  <si>
    <t>2011P</t>
  </si>
  <si>
    <t xml:space="preserve"> &lt;-----From ASMdata_101513.xlsx!Expenditure_ratios_revised_1985!F91</t>
  </si>
  <si>
    <t xml:space="preserve">  MECS_Annual_Fuel1</t>
  </si>
  <si>
    <t>Fuel estimates</t>
  </si>
  <si>
    <t xml:space="preserve">  ASM_Annual_Elec1</t>
  </si>
  <si>
    <t>Electricity estimates</t>
  </si>
  <si>
    <t>Electricity Consumption (Purchased Electricity), Tbtu    Series transferred to Industrial_Indicators.xlsx spreadsheet</t>
  </si>
  <si>
    <t xml:space="preserve">MECS_Annual_Fuel1 </t>
  </si>
  <si>
    <t>2010 from MECS - small differences from rounding errors</t>
  </si>
  <si>
    <t xml:space="preserve">worksheet beginning in cell L6.  The values are used </t>
  </si>
  <si>
    <t xml:space="preserve">in an interpolation scheme to match the estimates of </t>
  </si>
  <si>
    <t xml:space="preserve">total fuel from MECS </t>
  </si>
  <si>
    <t xml:space="preserve">MECS_Annual_Fuel2 </t>
  </si>
  <si>
    <t>In this worksheet, the electricity consumption data</t>
  </si>
  <si>
    <t>is used to interpolate/extrapolate the fuel use for</t>
  </si>
  <si>
    <t>Ratio</t>
  </si>
  <si>
    <t>Projected by fuels after 2010</t>
  </si>
  <si>
    <t>non-MECS years.  A choice is made for those</t>
  </si>
  <si>
    <t xml:space="preserve">sector in which the non-MECS years fuel is used </t>
  </si>
  <si>
    <t xml:space="preserve">to interpolated between MECS year, or whether the </t>
  </si>
  <si>
    <t>electricity data is used for the interpolation.  At this</t>
  </si>
  <si>
    <t xml:space="preserve">point, only two sectors use electricty, NAICS 324 and </t>
  </si>
  <si>
    <t>325.  See cell CA86 for where this occurs</t>
  </si>
  <si>
    <t>Cell L$6</t>
  </si>
  <si>
    <t>Cell U$8</t>
  </si>
  <si>
    <t>MECS_Annual_Fuel3_1970on</t>
  </si>
  <si>
    <t>data to results from MECS_Annual_Fuel2.  From</t>
  </si>
  <si>
    <t>here (rangel BQ10:CH54), the data are transferred</t>
  </si>
  <si>
    <t>to the industrial_indicators spreadsheet</t>
  </si>
  <si>
    <t>Other worksheets</t>
  </si>
  <si>
    <t xml:space="preserve">The worksheets to the right of </t>
  </si>
  <si>
    <t>were primarily used to process the pre-1985 data, and to</t>
  </si>
  <si>
    <t xml:space="preserve">provide linkages between the SIC classification and NAICS in </t>
  </si>
  <si>
    <t>1997.  As yet (10/2016) they are not documented externally</t>
  </si>
  <si>
    <t>ASM_Annual_Elec1</t>
  </si>
  <si>
    <t>Data supplied to this spreadsheet from ASMdata_100716</t>
  </si>
  <si>
    <t>ASM_Annual_Elec2_1970on</t>
  </si>
  <si>
    <t>to industrial_indicators spreadsheet (see range BN10:CE54)</t>
  </si>
  <si>
    <t>Brief Description of Key Worksheets</t>
  </si>
  <si>
    <t>Data from the ASMdata_data file is transferred to this</t>
  </si>
  <si>
    <t xml:space="preserve">These worksheets are generally based upon the National </t>
  </si>
  <si>
    <t xml:space="preserve">Energy Accounts (NEA), a project originally funded by DOE </t>
  </si>
  <si>
    <t xml:space="preserve">to develop a consistent times series of energy use by year </t>
  </si>
  <si>
    <t>and sector.  The worksheets are: elechap2b ("hap" = heat and power)</t>
  </si>
  <si>
    <t>elechap3b, ALLFOS, fallhap2b, and fallhap3b</t>
  </si>
  <si>
    <t>1994 study; these data were originally from the NEA</t>
  </si>
  <si>
    <t>It aggregates the data to best fit the NAICS 3-digit sectors</t>
  </si>
  <si>
    <t>I don't believe these data are used in final estimates -</t>
  </si>
  <si>
    <t>see elechap3b</t>
  </si>
  <si>
    <t>elechap2</t>
  </si>
  <si>
    <t>This worksheet begins with the 75-sector classification used in the</t>
  </si>
  <si>
    <t>ELECNEA</t>
  </si>
  <si>
    <t>Data taken directly from the NEA datafiles, with 132 sectors in</t>
  </si>
  <si>
    <t>Check with current indicators work (6-28-2012) (Note: up 6/28/2012  the earlier indicators data was based upon the 75-sector classification used in the 1995 decomposition work)</t>
  </si>
  <si>
    <t>the U.S. economy.  Electricity consumption is in Tbtu (site) [I believe, D.B.]</t>
  </si>
  <si>
    <t>elechap3</t>
  </si>
  <si>
    <t>This worksheet develops the pre-1987 for electricity.  It starts</t>
  </si>
  <si>
    <t>with the aggregation of the NEA electricity data in ELECNEA,</t>
  </si>
  <si>
    <t>and then uses other series to extrapolate the last NEA year</t>
  </si>
  <si>
    <t xml:space="preserve">1985 through 1987.  </t>
  </si>
  <si>
    <t>In the rightmost portion of the worksheet is aggregation to 3-digit NAICS</t>
  </si>
  <si>
    <t>the U.S. economy.  Fossil fuel consumption is in Tbtu (site) [I believe, D.B.]</t>
  </si>
  <si>
    <t>ALLFOSS</t>
  </si>
  <si>
    <t xml:space="preserve">Link estimates for 1987 and later to NEA-based estimates for </t>
  </si>
  <si>
    <t xml:space="preserve">Final estimates transferred </t>
  </si>
  <si>
    <t>Insert data from ASM_data for 1987 and later.  The data</t>
  </si>
  <si>
    <t>for earlier years now come from elechap3b, not elechap2b</t>
  </si>
  <si>
    <t xml:space="preserve">1970 to 1987 (1986 and 1987 extrapolated) from elechap3b  </t>
  </si>
  <si>
    <t xml:space="preserve">NEA-based data - processed in worksheet elechap3b </t>
  </si>
  <si>
    <t>NEA - based data from worksheet fallhap3</t>
  </si>
  <si>
    <t>Final data incorporates choices begins in cell CB80</t>
  </si>
  <si>
    <t xml:space="preserve">Fuel Interpolation (deflated purchased cost of fuels) from worksheet </t>
  </si>
  <si>
    <t>MECS_Annual_Fuel1</t>
  </si>
  <si>
    <t>This worksheet is subsequently used to link the 1970-1985</t>
  </si>
  <si>
    <t>MECS_Fuel</t>
  </si>
  <si>
    <t>Very key worksheet - includes data for total fuel use from all</t>
  </si>
  <si>
    <t>of the MECS surveys available.  Cell Z138 is the upper left</t>
  </si>
  <si>
    <t xml:space="preserve">portion of the worksheet that contains the bridge used to </t>
  </si>
  <si>
    <t>convert the pre-1998 MECS data to NAICS.</t>
  </si>
  <si>
    <t>ASM2</t>
  </si>
  <si>
    <t>Data used in the 1994 Manufacturing Study - NOT USED for Current Estimates</t>
  </si>
  <si>
    <t xml:space="preserve"> Data is used in MECS_Annual_Fuel1</t>
  </si>
  <si>
    <t>Use electricity consumption to interpolate non-MECS years, and do selection of sectors where that method is to be used</t>
  </si>
  <si>
    <t>Use deflated (composite $/MMBtu) cost of purchased fuels to interpolate non-MECS years</t>
  </si>
  <si>
    <t>Scale Factors Related to 2014 Value</t>
  </si>
  <si>
    <t>U.S. Energy Information Administration</t>
  </si>
  <si>
    <t>November 2019 Monthly Energy Review</t>
  </si>
  <si>
    <t>Release Date: November 25, 2019</t>
  </si>
  <si>
    <t>Next Update: December 23, 2019</t>
  </si>
  <si>
    <t>Table 2.4 Industrial Sector Energy Consumption</t>
  </si>
  <si>
    <t>Annual Total</t>
  </si>
  <si>
    <t>Coal Consumed by the Industrial Sector</t>
  </si>
  <si>
    <t>Natural Gas Consumed by the Industrial Sector (Excluding Supplemental Gaseous Fuels)</t>
  </si>
  <si>
    <t>Petroleum Consumed by the Industrial Sector (Excluding Biofuels)</t>
  </si>
  <si>
    <t>Total Fossil Fuels Consumed by the Industrial Sector</t>
  </si>
  <si>
    <t>Conventional Hydroelectric Power Consumed by the Industrial Sector</t>
  </si>
  <si>
    <t>Geothermal Energy Consumed by the Industrial Sector</t>
  </si>
  <si>
    <t>Solar Energy Consumed by the Industrial Sector</t>
  </si>
  <si>
    <t>Wind Energy Consumed by the Industrial Sector</t>
  </si>
  <si>
    <t>Biomass Energy Consumed by the Industrial Sector</t>
  </si>
  <si>
    <t>Total Renewable Energy Consumed by the Industrial Sector</t>
  </si>
  <si>
    <t>Total Primary Energy Consumed by the Industrial Sector</t>
  </si>
  <si>
    <t>Electricity Retail Sales to the Industrial Sector</t>
  </si>
  <si>
    <t>Industrial Sector Electrical System Energy Losses</t>
  </si>
  <si>
    <t>Total Energy Consumed by the Industrial Sector</t>
  </si>
  <si>
    <t>(Trillion Btu)</t>
  </si>
  <si>
    <t>Not Available</t>
  </si>
  <si>
    <t>No Data Reported</t>
  </si>
  <si>
    <t>MER-Fossil</t>
  </si>
  <si>
    <t>Ratios relative to 2014</t>
  </si>
  <si>
    <t>From ASMdata_010220</t>
  </si>
  <si>
    <t>Total Manufacturing</t>
  </si>
  <si>
    <t>MER - Total Fossil</t>
  </si>
  <si>
    <t>Fuel Consumption (Matches MECS T.3.2 in MECS years), Tbtu    Series transferred to Industrial_Indicators.xlsx spreadsheet</t>
  </si>
  <si>
    <t>Table 3.1, Table 3.2</t>
  </si>
  <si>
    <t>Net Elec,     T. 3.1</t>
  </si>
  <si>
    <t xml:space="preserve">  Interpolation energy:</t>
  </si>
  <si>
    <t>2005 - 2017</t>
  </si>
  <si>
    <t>1988 - 2009</t>
  </si>
  <si>
    <t xml:space="preserve">   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</si>
</sst>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0.000"/>
    <numFmt numFmtId="165" formatCode="0.0"/>
    <numFmt numFmtId="166" formatCode="#,##0.0"/>
    <numFmt numFmtId="167" formatCode="0.0%"/>
    <numFmt numFmtId="168" formatCode="#,##0.000"/>
    <numFmt numFmtId="169" formatCode="_(* #,##0.0_);_(* \(#,##0.0\);_(* &quot;-&quot;??_);_(@_)"/>
    <numFmt numFmtId="170" formatCode="#,##0_)"/>
    <numFmt numFmtId="171" formatCode="###0.00_)"/>
    <numFmt numFmtId="172" formatCode="0.0_W"/>
    <numFmt numFmtId="173" formatCode="0.0000"/>
  </numFmts>
  <fonts count="54" x14ac:knownFonts="1">
    <font>
      <sz val="10"/>
      <name val="Arial"/>
    </font>
    <font>
      <sz val="11"/>
      <color theme="1"/>
      <name val="Calibri"/>
      <family val="2"/>
      <scheme val="minor"/>
    </font>
    <font>
      <sz val="10"/>
      <color theme="1"/>
      <name val="Arial"/>
      <family val="2"/>
    </font>
    <font>
      <sz val="10"/>
      <color theme="1"/>
      <name val="Arial"/>
      <family val="2"/>
    </font>
    <font>
      <sz val="10"/>
      <name val="Arial"/>
      <family val="2"/>
    </font>
    <font>
      <sz val="10"/>
      <name val="Arial"/>
      <family val="2"/>
    </font>
    <font>
      <sz val="8"/>
      <color indexed="81"/>
      <name val="Tahoma"/>
      <family val="2"/>
    </font>
    <font>
      <b/>
      <sz val="8"/>
      <color indexed="81"/>
      <name val="Tahoma"/>
      <family val="2"/>
    </font>
    <font>
      <sz val="8"/>
      <name val="Times New Roman"/>
      <family val="1"/>
    </font>
    <font>
      <sz val="8"/>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i/>
      <sz val="10"/>
      <color theme="1"/>
      <name val="Arial"/>
      <family val="2"/>
    </font>
    <font>
      <b/>
      <sz val="12"/>
      <color theme="1"/>
      <name val="Arial"/>
      <family val="2"/>
    </font>
    <font>
      <b/>
      <sz val="7"/>
      <color theme="1"/>
      <name val="Arial"/>
      <family val="2"/>
    </font>
    <font>
      <vertAlign val="superscript"/>
      <sz val="5"/>
      <color theme="1"/>
      <name val="Arial"/>
      <family val="2"/>
    </font>
    <font>
      <sz val="7"/>
      <color theme="1"/>
      <name val="Arial"/>
      <family val="2"/>
    </font>
    <font>
      <sz val="5"/>
      <color theme="1"/>
      <name val="Arial"/>
      <family val="2"/>
    </font>
    <font>
      <sz val="7"/>
      <color theme="1"/>
      <name val="Symbol"/>
      <family val="1"/>
      <charset val="2"/>
    </font>
    <font>
      <u/>
      <sz val="10"/>
      <color theme="10"/>
      <name val="Arial"/>
      <family val="2"/>
    </font>
    <font>
      <sz val="12"/>
      <name val="Helv"/>
    </font>
    <font>
      <b/>
      <sz val="12"/>
      <name val="Helv"/>
    </font>
    <font>
      <sz val="9"/>
      <name val="Helv"/>
    </font>
    <font>
      <vertAlign val="superscript"/>
      <sz val="12"/>
      <name val="Helv"/>
    </font>
    <font>
      <sz val="10"/>
      <name val="Helv"/>
    </font>
    <font>
      <u/>
      <sz val="11"/>
      <color rgb="FF800080"/>
      <name val="Calibri"/>
      <family val="2"/>
      <scheme val="minor"/>
    </font>
    <font>
      <b/>
      <sz val="9"/>
      <name val="Helv"/>
    </font>
    <font>
      <sz val="8.5"/>
      <name val="Helv"/>
    </font>
    <font>
      <b/>
      <sz val="10"/>
      <name val="HELV"/>
    </font>
    <font>
      <u/>
      <sz val="11"/>
      <color rgb="FF0000FF"/>
      <name val="Calibri"/>
      <family val="2"/>
      <scheme val="minor"/>
    </font>
    <font>
      <sz val="8"/>
      <name val="Helv"/>
    </font>
    <font>
      <b/>
      <sz val="14"/>
      <name val="Helv"/>
    </font>
    <font>
      <b/>
      <sz val="10"/>
      <name val="Arial"/>
      <family val="2"/>
    </font>
    <font>
      <sz val="11"/>
      <color rgb="FF000000"/>
      <name val="Calibri"/>
      <family val="2"/>
    </font>
    <font>
      <b/>
      <sz val="14"/>
      <color rgb="FF000000"/>
      <name val="Calibri"/>
      <family val="2"/>
    </font>
    <font>
      <i/>
      <sz val="14"/>
      <color rgb="FF000000"/>
      <name val="Calibri"/>
      <family val="2"/>
    </font>
    <font>
      <b/>
      <u/>
      <sz val="10"/>
      <color rgb="FF0000FF"/>
      <name val="Calibri"/>
      <family val="2"/>
    </font>
    <font>
      <b/>
      <sz val="12"/>
      <color rgb="FF000000"/>
      <name val="Calibri"/>
      <family val="2"/>
    </font>
    <font>
      <b/>
      <sz val="10"/>
      <color rgb="FF000000"/>
      <name val="Calibri"/>
      <family val="2"/>
    </font>
  </fonts>
  <fills count="59">
    <fill>
      <patternFill patternType="none"/>
    </fill>
    <fill>
      <patternFill patternType="gray125"/>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43"/>
        <bgColor indexed="64"/>
      </patternFill>
    </fill>
    <fill>
      <patternFill patternType="solid">
        <fgColor indexed="52"/>
        <bgColor indexed="64"/>
      </patternFill>
    </fill>
    <fill>
      <patternFill patternType="solid">
        <fgColor indexed="13"/>
        <bgColor indexed="64"/>
      </patternFill>
    </fill>
    <fill>
      <patternFill patternType="solid">
        <fgColor indexed="11"/>
        <bgColor indexed="64"/>
      </patternFill>
    </fill>
    <fill>
      <patternFill patternType="solid">
        <fgColor indexed="42"/>
        <bgColor indexed="64"/>
      </patternFill>
    </fill>
    <fill>
      <patternFill patternType="solid">
        <fgColor indexed="14"/>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F0F0F0"/>
        <bgColor indexed="64"/>
      </patternFill>
    </fill>
    <fill>
      <patternFill patternType="solid">
        <fgColor indexed="22"/>
        <bgColor indexed="9"/>
      </patternFill>
    </fill>
    <fill>
      <patternFill patternType="solid">
        <fgColor indexed="22"/>
        <bgColor indexed="55"/>
      </patternFill>
    </fill>
    <fill>
      <patternFill patternType="solid">
        <fgColor theme="3" tint="0.59999389629810485"/>
        <bgColor indexed="64"/>
      </patternFill>
    </fill>
    <fill>
      <patternFill patternType="solid">
        <fgColor rgb="FF92D050"/>
        <bgColor indexed="64"/>
      </patternFill>
    </fill>
    <fill>
      <patternFill patternType="solid">
        <fgColor theme="9"/>
        <bgColor indexed="64"/>
      </patternFill>
    </fill>
  </fills>
  <borders count="27">
    <border>
      <left/>
      <right/>
      <top/>
      <bottom/>
      <diagonal/>
    </border>
    <border>
      <left/>
      <right/>
      <top/>
      <bottom style="medium">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22"/>
      </bottom>
      <diagonal/>
    </border>
    <border>
      <left/>
      <right/>
      <top/>
      <bottom style="hair">
        <color indexed="64"/>
      </bottom>
      <diagonal/>
    </border>
    <border>
      <left/>
      <right/>
      <top/>
      <bottom style="hair">
        <color indexed="8"/>
      </bottom>
      <diagonal/>
    </border>
  </borders>
  <cellStyleXfs count="105">
    <xf numFmtId="0" fontId="0" fillId="0" borderId="0"/>
    <xf numFmtId="9" fontId="5" fillId="0" borderId="0" applyFont="0" applyFill="0" applyBorder="0" applyAlignment="0" applyProtection="0"/>
    <xf numFmtId="0" fontId="11" fillId="0" borderId="0"/>
    <xf numFmtId="0" fontId="3" fillId="0" borderId="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36" borderId="0" applyNumberFormat="0" applyBorder="0" applyAlignment="0" applyProtection="0"/>
    <xf numFmtId="0" fontId="11" fillId="40"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37" borderId="0" applyNumberFormat="0" applyBorder="0" applyAlignment="0" applyProtection="0"/>
    <xf numFmtId="0" fontId="11" fillId="41"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8" borderId="0" applyNumberFormat="0" applyBorder="0" applyAlignment="0" applyProtection="0"/>
    <xf numFmtId="0" fontId="12" fillId="42"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9" borderId="0" applyNumberFormat="0" applyBorder="0" applyAlignment="0" applyProtection="0"/>
    <xf numFmtId="0" fontId="13" fillId="13" borderId="0" applyNumberFormat="0" applyBorder="0" applyAlignment="0" applyProtection="0"/>
    <xf numFmtId="0" fontId="14" fillId="16" borderId="6" applyNumberFormat="0" applyAlignment="0" applyProtection="0"/>
    <xf numFmtId="0" fontId="15" fillId="17" borderId="9" applyNumberFormat="0" applyAlignment="0" applyProtection="0"/>
    <xf numFmtId="0" fontId="16" fillId="0" borderId="0" applyNumberFormat="0" applyFill="0" applyBorder="0" applyAlignment="0" applyProtection="0"/>
    <xf numFmtId="0" fontId="17" fillId="12"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15" borderId="6" applyNumberFormat="0" applyAlignment="0" applyProtection="0"/>
    <xf numFmtId="0" fontId="22" fillId="0" borderId="8" applyNumberFormat="0" applyFill="0" applyAlignment="0" applyProtection="0"/>
    <xf numFmtId="0" fontId="23" fillId="14" borderId="0" applyNumberFormat="0" applyBorder="0" applyAlignment="0" applyProtection="0"/>
    <xf numFmtId="0" fontId="11" fillId="18" borderId="10" applyNumberFormat="0" applyFont="0" applyAlignment="0" applyProtection="0"/>
    <xf numFmtId="0" fontId="24" fillId="16" borderId="7" applyNumberFormat="0" applyAlignment="0" applyProtection="0"/>
    <xf numFmtId="0" fontId="25" fillId="0" borderId="11" applyNumberFormat="0" applyFill="0" applyAlignment="0" applyProtection="0"/>
    <xf numFmtId="0" fontId="26" fillId="0" borderId="0" applyNumberFormat="0" applyFill="0" applyBorder="0" applyAlignment="0" applyProtection="0"/>
    <xf numFmtId="0" fontId="2" fillId="0" borderId="0"/>
    <xf numFmtId="0" fontId="34" fillId="0" borderId="0" applyNumberFormat="0" applyFill="0" applyBorder="0" applyAlignment="0" applyProtection="0"/>
    <xf numFmtId="0" fontId="35" fillId="0" borderId="0">
      <alignment horizontal="center" vertical="center" wrapText="1"/>
    </xf>
    <xf numFmtId="43" fontId="11" fillId="0" borderId="0" applyFont="0" applyFill="0" applyBorder="0" applyAlignment="0" applyProtection="0"/>
    <xf numFmtId="43" fontId="4" fillId="0" borderId="0" applyFont="0" applyFill="0" applyBorder="0" applyAlignment="0" applyProtection="0"/>
    <xf numFmtId="3" fontId="4" fillId="0" borderId="0" applyFont="0" applyFill="0" applyBorder="0" applyAlignment="0" applyProtection="0"/>
    <xf numFmtId="0" fontId="36" fillId="0" borderId="0">
      <alignment horizontal="left" vertical="center" wrapText="1"/>
    </xf>
    <xf numFmtId="169" fontId="4" fillId="0" borderId="0" applyFont="0" applyFill="0" applyBorder="0" applyAlignment="0" applyProtection="0"/>
    <xf numFmtId="3" fontId="37" fillId="0" borderId="24" applyAlignment="0">
      <alignment horizontal="right" vertical="center"/>
    </xf>
    <xf numFmtId="170" fontId="37" fillId="0" borderId="24">
      <alignment horizontal="right" vertical="center"/>
    </xf>
    <xf numFmtId="49" fontId="38" fillId="0" borderId="24">
      <alignment horizontal="left" vertical="center"/>
    </xf>
    <xf numFmtId="171" fontId="39" fillId="0" borderId="24" applyNumberFormat="0" applyFill="0">
      <alignment horizontal="right"/>
    </xf>
    <xf numFmtId="172" fontId="39" fillId="0" borderId="24">
      <alignment horizontal="right"/>
    </xf>
    <xf numFmtId="0" fontId="4" fillId="0" borderId="0" applyFont="0" applyFill="0" applyBorder="0" applyAlignment="0" applyProtection="0"/>
    <xf numFmtId="2" fontId="4" fillId="0" borderId="0" applyFont="0" applyFill="0" applyBorder="0" applyAlignment="0" applyProtection="0"/>
    <xf numFmtId="0" fontId="40" fillId="0" borderId="0" applyNumberFormat="0" applyFill="0" applyBorder="0" applyAlignment="0" applyProtection="0"/>
    <xf numFmtId="0" fontId="41" fillId="0" borderId="24">
      <alignment horizontal="left"/>
    </xf>
    <xf numFmtId="0" fontId="41" fillId="0" borderId="25">
      <alignment horizontal="right" vertical="center"/>
    </xf>
    <xf numFmtId="0" fontId="42" fillId="0" borderId="24">
      <alignment horizontal="left" vertical="center"/>
    </xf>
    <xf numFmtId="0" fontId="39" fillId="0" borderId="24">
      <alignment horizontal="left" vertical="center"/>
    </xf>
    <xf numFmtId="0" fontId="43" fillId="0" borderId="24">
      <alignment horizontal="left"/>
    </xf>
    <xf numFmtId="0" fontId="43" fillId="54" borderId="0">
      <alignment horizontal="centerContinuous" wrapText="1"/>
    </xf>
    <xf numFmtId="49" fontId="43" fillId="54" borderId="2">
      <alignment horizontal="left" vertical="center"/>
    </xf>
    <xf numFmtId="0" fontId="43" fillId="54" borderId="0">
      <alignment horizontal="centerContinuous" vertical="center" wrapText="1"/>
    </xf>
    <xf numFmtId="0" fontId="44" fillId="0" borderId="0" applyNumberFormat="0" applyFill="0" applyBorder="0" applyAlignment="0" applyProtection="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4" fillId="0" borderId="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3" fontId="37" fillId="0" borderId="0">
      <alignment horizontal="left" vertical="center"/>
    </xf>
    <xf numFmtId="0" fontId="35" fillId="0" borderId="0">
      <alignment horizontal="left" vertical="center"/>
    </xf>
    <xf numFmtId="0" fontId="45" fillId="0" borderId="0">
      <alignment horizontal="right"/>
    </xf>
    <xf numFmtId="49" fontId="45" fillId="0" borderId="0">
      <alignment horizontal="center"/>
    </xf>
    <xf numFmtId="0" fontId="38" fillId="0" borderId="0">
      <alignment horizontal="right"/>
    </xf>
    <xf numFmtId="0" fontId="45" fillId="0" borderId="0">
      <alignment horizontal="left"/>
    </xf>
    <xf numFmtId="49" fontId="37" fillId="0" borderId="0">
      <alignment horizontal="left" vertical="center"/>
    </xf>
    <xf numFmtId="49" fontId="38" fillId="0" borderId="24">
      <alignment horizontal="left" vertical="center"/>
    </xf>
    <xf numFmtId="49" fontId="35" fillId="0" borderId="24" applyFill="0">
      <alignment horizontal="left" vertical="center"/>
    </xf>
    <xf numFmtId="49" fontId="38" fillId="0" borderId="24">
      <alignment horizontal="left"/>
    </xf>
    <xf numFmtId="171" fontId="37" fillId="0" borderId="0" applyNumberFormat="0">
      <alignment horizontal="right"/>
    </xf>
    <xf numFmtId="0" fontId="41" fillId="55" borderId="0">
      <alignment horizontal="centerContinuous" vertical="center" wrapText="1"/>
    </xf>
    <xf numFmtId="0" fontId="41" fillId="0" borderId="26">
      <alignment horizontal="left" vertical="center"/>
    </xf>
    <xf numFmtId="0" fontId="46" fillId="0" borderId="0">
      <alignment horizontal="left" vertical="top"/>
    </xf>
    <xf numFmtId="0" fontId="43" fillId="0" borderId="0">
      <alignment horizontal="left"/>
    </xf>
    <xf numFmtId="0" fontId="36" fillId="0" borderId="0">
      <alignment horizontal="left"/>
    </xf>
    <xf numFmtId="0" fontId="39" fillId="0" borderId="0">
      <alignment horizontal="left"/>
    </xf>
    <xf numFmtId="0" fontId="46" fillId="0" borderId="0">
      <alignment horizontal="left" vertical="top"/>
    </xf>
    <xf numFmtId="0" fontId="36" fillId="0" borderId="0">
      <alignment horizontal="left"/>
    </xf>
    <xf numFmtId="0" fontId="39" fillId="0" borderId="0">
      <alignment horizontal="left"/>
    </xf>
    <xf numFmtId="49" fontId="37" fillId="0" borderId="24">
      <alignment horizontal="left"/>
    </xf>
    <xf numFmtId="0" fontId="41" fillId="0" borderId="25">
      <alignment horizontal="left"/>
    </xf>
    <xf numFmtId="0" fontId="43" fillId="0" borderId="0">
      <alignment horizontal="left" vertical="center"/>
    </xf>
    <xf numFmtId="49" fontId="45" fillId="0" borderId="24">
      <alignment horizontal="left"/>
    </xf>
    <xf numFmtId="0" fontId="48" fillId="0" borderId="0"/>
  </cellStyleXfs>
  <cellXfs count="155">
    <xf numFmtId="0" fontId="0" fillId="0" borderId="0" xfId="0"/>
    <xf numFmtId="0" fontId="0" fillId="0" borderId="1" xfId="0" applyBorder="1"/>
    <xf numFmtId="0" fontId="0" fillId="0" borderId="0" xfId="0" quotePrefix="1"/>
    <xf numFmtId="0" fontId="0" fillId="2" borderId="0" xfId="0" applyFill="1"/>
    <xf numFmtId="164" fontId="0" fillId="0" borderId="0" xfId="0" applyNumberFormat="1"/>
    <xf numFmtId="2" fontId="0" fillId="0" borderId="0" xfId="0" applyNumberFormat="1"/>
    <xf numFmtId="2" fontId="0" fillId="3" borderId="0" xfId="0" applyNumberFormat="1" applyFill="1"/>
    <xf numFmtId="165" fontId="0" fillId="0" borderId="0" xfId="0" applyNumberFormat="1"/>
    <xf numFmtId="2" fontId="0" fillId="4" borderId="0" xfId="0" applyNumberFormat="1" applyFill="1"/>
    <xf numFmtId="0" fontId="0" fillId="3" borderId="0" xfId="0" applyFill="1"/>
    <xf numFmtId="166" fontId="8" fillId="0" borderId="0" xfId="0" quotePrefix="1" applyNumberFormat="1" applyFont="1" applyAlignment="1">
      <alignment horizontal="center" vertical="center" wrapText="1"/>
    </xf>
    <xf numFmtId="166" fontId="8" fillId="0" borderId="0" xfId="0" applyNumberFormat="1" applyFont="1" applyAlignment="1">
      <alignment horizontal="center" vertical="center" wrapText="1"/>
    </xf>
    <xf numFmtId="166" fontId="8" fillId="0" borderId="0" xfId="0" applyNumberFormat="1" applyFont="1"/>
    <xf numFmtId="166" fontId="8" fillId="2" borderId="0" xfId="0" applyNumberFormat="1" applyFont="1" applyFill="1" applyAlignment="1">
      <alignment horizontal="center" vertical="center" wrapText="1"/>
    </xf>
    <xf numFmtId="166" fontId="8" fillId="2" borderId="0" xfId="0" applyNumberFormat="1" applyFont="1" applyFill="1"/>
    <xf numFmtId="166" fontId="0" fillId="0" borderId="0" xfId="0" applyNumberFormat="1"/>
    <xf numFmtId="166" fontId="8" fillId="0" borderId="1" xfId="0" quotePrefix="1" applyNumberFormat="1" applyFont="1" applyBorder="1" applyAlignment="1">
      <alignment horizontal="center" vertical="center" wrapText="1"/>
    </xf>
    <xf numFmtId="166" fontId="8" fillId="0" borderId="1" xfId="0" applyNumberFormat="1" applyFont="1" applyBorder="1" applyAlignment="1">
      <alignment horizontal="center" vertical="center" wrapText="1"/>
    </xf>
    <xf numFmtId="1" fontId="0" fillId="0" borderId="0" xfId="0" applyNumberFormat="1"/>
    <xf numFmtId="166" fontId="8" fillId="0" borderId="0" xfId="0" applyNumberFormat="1" applyFont="1" applyFill="1"/>
    <xf numFmtId="9" fontId="0" fillId="0" borderId="0" xfId="0" applyNumberFormat="1"/>
    <xf numFmtId="9" fontId="4" fillId="5" borderId="0" xfId="0" applyNumberFormat="1" applyFont="1" applyFill="1"/>
    <xf numFmtId="9" fontId="0" fillId="2" borderId="0" xfId="0" applyNumberFormat="1" applyFill="1"/>
    <xf numFmtId="9" fontId="4" fillId="2" borderId="0" xfId="0" applyNumberFormat="1" applyFont="1" applyFill="1"/>
    <xf numFmtId="0" fontId="0" fillId="0" borderId="1" xfId="0" applyBorder="1" applyAlignment="1">
      <alignment wrapText="1"/>
    </xf>
    <xf numFmtId="0" fontId="4" fillId="0" borderId="1" xfId="0" applyFont="1" applyBorder="1"/>
    <xf numFmtId="164" fontId="0" fillId="0" borderId="1" xfId="0" applyNumberFormat="1" applyBorder="1"/>
    <xf numFmtId="165" fontId="0" fillId="0" borderId="1" xfId="0" applyNumberFormat="1" applyBorder="1"/>
    <xf numFmtId="9" fontId="0" fillId="0" borderId="0" xfId="1" applyFont="1"/>
    <xf numFmtId="167" fontId="0" fillId="0" borderId="0" xfId="1" applyNumberFormat="1" applyFont="1"/>
    <xf numFmtId="164" fontId="0" fillId="6" borderId="0" xfId="0" applyNumberFormat="1" applyFill="1"/>
    <xf numFmtId="0" fontId="0" fillId="0" borderId="0" xfId="0" applyFill="1"/>
    <xf numFmtId="166" fontId="8" fillId="0" borderId="0" xfId="0" applyNumberFormat="1" applyFont="1" applyFill="1" applyAlignment="1">
      <alignment horizontal="center" vertical="center" wrapText="1"/>
    </xf>
    <xf numFmtId="166" fontId="8" fillId="0" borderId="2" xfId="0" applyNumberFormat="1" applyFont="1" applyBorder="1"/>
    <xf numFmtId="0" fontId="0" fillId="0" borderId="2" xfId="0" applyBorder="1"/>
    <xf numFmtId="9" fontId="4" fillId="0" borderId="0" xfId="1" applyFont="1"/>
    <xf numFmtId="167" fontId="4" fillId="0" borderId="0" xfId="1" applyNumberFormat="1" applyFont="1"/>
    <xf numFmtId="0" fontId="0" fillId="6" borderId="0" xfId="0" applyFill="1"/>
    <xf numFmtId="164" fontId="0" fillId="7" borderId="0" xfId="0" applyNumberFormat="1" applyFill="1"/>
    <xf numFmtId="2" fontId="0" fillId="0" borderId="0" xfId="0" applyNumberFormat="1" applyFill="1"/>
    <xf numFmtId="0" fontId="0" fillId="8" borderId="0" xfId="0" applyFill="1"/>
    <xf numFmtId="0" fontId="0" fillId="9" borderId="0" xfId="0" applyFill="1"/>
    <xf numFmtId="0" fontId="0" fillId="10" borderId="0" xfId="0" applyFill="1"/>
    <xf numFmtId="0" fontId="0" fillId="4" borderId="0" xfId="0" applyFill="1"/>
    <xf numFmtId="3" fontId="0" fillId="0" borderId="0" xfId="0" applyNumberFormat="1"/>
    <xf numFmtId="0" fontId="10" fillId="6" borderId="0" xfId="0" applyFont="1" applyFill="1"/>
    <xf numFmtId="0" fontId="5" fillId="0" borderId="0" xfId="0" applyFont="1"/>
    <xf numFmtId="165" fontId="0" fillId="2" borderId="0" xfId="0" applyNumberFormat="1" applyFill="1"/>
    <xf numFmtId="165" fontId="0" fillId="4" borderId="0" xfId="0" applyNumberFormat="1" applyFill="1"/>
    <xf numFmtId="165" fontId="0" fillId="11" borderId="0" xfId="0" applyNumberFormat="1" applyFill="1"/>
    <xf numFmtId="0" fontId="11" fillId="0" borderId="0" xfId="2"/>
    <xf numFmtId="0" fontId="11" fillId="43" borderId="0" xfId="2" applyFill="1"/>
    <xf numFmtId="0" fontId="4" fillId="0" borderId="0" xfId="0" applyFont="1"/>
    <xf numFmtId="0" fontId="0" fillId="44" borderId="0" xfId="0" applyFill="1"/>
    <xf numFmtId="0" fontId="5" fillId="44" borderId="0" xfId="0" applyFont="1" applyFill="1"/>
    <xf numFmtId="0" fontId="4" fillId="44" borderId="0" xfId="0" applyFont="1" applyFill="1"/>
    <xf numFmtId="0" fontId="0" fillId="45" borderId="0" xfId="0" applyFill="1"/>
    <xf numFmtId="168" fontId="0" fillId="0" borderId="0" xfId="0" applyNumberFormat="1"/>
    <xf numFmtId="168" fontId="0" fillId="3" borderId="0" xfId="0" applyNumberFormat="1" applyFill="1"/>
    <xf numFmtId="164" fontId="0" fillId="11" borderId="0" xfId="0" applyNumberFormat="1" applyFill="1"/>
    <xf numFmtId="4" fontId="0" fillId="11" borderId="0" xfId="0" applyNumberFormat="1" applyFill="1"/>
    <xf numFmtId="164" fontId="4" fillId="11" borderId="0" xfId="0" applyNumberFormat="1" applyFont="1" applyFill="1"/>
    <xf numFmtId="0" fontId="3" fillId="0" borderId="0" xfId="3"/>
    <xf numFmtId="0" fontId="0" fillId="46" borderId="0" xfId="0" applyFill="1"/>
    <xf numFmtId="0" fontId="0" fillId="47" borderId="0" xfId="0" applyFill="1"/>
    <xf numFmtId="0" fontId="4" fillId="47" borderId="0" xfId="0" applyFont="1" applyFill="1"/>
    <xf numFmtId="4" fontId="0" fillId="0" borderId="0" xfId="0" applyNumberFormat="1"/>
    <xf numFmtId="0" fontId="4" fillId="48" borderId="0" xfId="0" applyFont="1" applyFill="1"/>
    <xf numFmtId="0" fontId="0" fillId="48" borderId="0" xfId="0" applyFill="1"/>
    <xf numFmtId="0" fontId="4" fillId="49" borderId="0" xfId="0" applyFont="1" applyFill="1"/>
    <xf numFmtId="0" fontId="0" fillId="49" borderId="0" xfId="0" applyFill="1"/>
    <xf numFmtId="4" fontId="0" fillId="0" borderId="0" xfId="0" applyNumberFormat="1" applyFill="1"/>
    <xf numFmtId="0" fontId="11" fillId="0" borderId="0" xfId="2" quotePrefix="1"/>
    <xf numFmtId="164" fontId="0" fillId="50" borderId="0" xfId="0" applyNumberFormat="1" applyFill="1"/>
    <xf numFmtId="165" fontId="0" fillId="51" borderId="0" xfId="0" applyNumberFormat="1" applyFill="1"/>
    <xf numFmtId="0" fontId="27" fillId="0" borderId="0" xfId="3" applyFont="1"/>
    <xf numFmtId="166" fontId="8" fillId="0" borderId="0" xfId="0" applyNumberFormat="1" applyFont="1" applyBorder="1" applyAlignment="1">
      <alignment horizontal="center" vertical="center" wrapText="1"/>
    </xf>
    <xf numFmtId="2" fontId="0" fillId="2" borderId="0" xfId="0" applyNumberFormat="1" applyFill="1"/>
    <xf numFmtId="0" fontId="0" fillId="43" borderId="0" xfId="0" applyFill="1"/>
    <xf numFmtId="0" fontId="10" fillId="0" borderId="0" xfId="0" applyFont="1"/>
    <xf numFmtId="0" fontId="0" fillId="0" borderId="0" xfId="0" applyBorder="1"/>
    <xf numFmtId="1" fontId="0" fillId="0" borderId="0" xfId="0" applyNumberFormat="1" applyBorder="1"/>
    <xf numFmtId="166" fontId="8" fillId="52" borderId="0" xfId="0" applyNumberFormat="1" applyFont="1" applyFill="1"/>
    <xf numFmtId="166" fontId="0" fillId="52" borderId="0" xfId="0" applyNumberFormat="1" applyFill="1"/>
    <xf numFmtId="166" fontId="8" fillId="52" borderId="0" xfId="0" applyNumberFormat="1" applyFont="1" applyFill="1" applyAlignment="1">
      <alignment horizontal="center" vertical="center" wrapText="1"/>
    </xf>
    <xf numFmtId="0" fontId="2" fillId="0" borderId="0" xfId="44"/>
    <xf numFmtId="0" fontId="29" fillId="0" borderId="18" xfId="44" applyFont="1" applyBorder="1" applyAlignment="1">
      <alignment horizontal="center" wrapText="1"/>
    </xf>
    <xf numFmtId="0" fontId="29" fillId="0" borderId="22" xfId="44" applyFont="1" applyBorder="1" applyAlignment="1">
      <alignment horizontal="center" wrapText="1"/>
    </xf>
    <xf numFmtId="0" fontId="31" fillId="0" borderId="23" xfId="44" applyFont="1" applyBorder="1" applyAlignment="1">
      <alignment horizontal="left"/>
    </xf>
    <xf numFmtId="3" fontId="31" fillId="0" borderId="23" xfId="44" applyNumberFormat="1" applyFont="1" applyBorder="1" applyAlignment="1">
      <alignment horizontal="right" wrapText="1"/>
    </xf>
    <xf numFmtId="0" fontId="2" fillId="0" borderId="23" xfId="44" applyBorder="1" applyAlignment="1">
      <alignment horizontal="right" wrapText="1"/>
    </xf>
    <xf numFmtId="0" fontId="31" fillId="0" borderId="23" xfId="44" applyFont="1" applyBorder="1" applyAlignment="1">
      <alignment horizontal="right" wrapText="1"/>
    </xf>
    <xf numFmtId="0" fontId="31" fillId="53" borderId="23" xfId="44" applyFont="1" applyFill="1" applyBorder="1" applyAlignment="1">
      <alignment horizontal="left"/>
    </xf>
    <xf numFmtId="3" fontId="31" fillId="53" borderId="23" xfId="44" applyNumberFormat="1" applyFont="1" applyFill="1" applyBorder="1" applyAlignment="1">
      <alignment horizontal="right" wrapText="1"/>
    </xf>
    <xf numFmtId="0" fontId="2" fillId="53" borderId="23" xfId="44" applyFill="1" applyBorder="1" applyAlignment="1">
      <alignment horizontal="right" wrapText="1"/>
    </xf>
    <xf numFmtId="0" fontId="31" fillId="53" borderId="23" xfId="44" applyFont="1" applyFill="1" applyBorder="1" applyAlignment="1">
      <alignment horizontal="right" wrapText="1"/>
    </xf>
    <xf numFmtId="0" fontId="32" fillId="0" borderId="23" xfId="44" applyFont="1" applyBorder="1" applyAlignment="1">
      <alignment horizontal="center" wrapText="1"/>
    </xf>
    <xf numFmtId="0" fontId="32" fillId="53" borderId="23" xfId="44" applyFont="1" applyFill="1" applyBorder="1" applyAlignment="1">
      <alignment horizontal="center" wrapText="1"/>
    </xf>
    <xf numFmtId="165" fontId="0" fillId="49" borderId="0" xfId="0" applyNumberFormat="1" applyFill="1"/>
    <xf numFmtId="166" fontId="0" fillId="0" borderId="1" xfId="0" applyNumberFormat="1" applyBorder="1"/>
    <xf numFmtId="166" fontId="0" fillId="0" borderId="0" xfId="0" applyNumberFormat="1" applyFill="1" applyBorder="1"/>
    <xf numFmtId="0" fontId="47" fillId="0" borderId="0" xfId="0" applyFont="1"/>
    <xf numFmtId="3" fontId="31" fillId="56" borderId="23" xfId="44" applyNumberFormat="1" applyFont="1" applyFill="1" applyBorder="1" applyAlignment="1">
      <alignment horizontal="right" wrapText="1"/>
    </xf>
    <xf numFmtId="0" fontId="47" fillId="57" borderId="0" xfId="0" applyFont="1" applyFill="1"/>
    <xf numFmtId="3" fontId="0" fillId="0" borderId="0" xfId="0" applyNumberFormat="1" applyFont="1"/>
    <xf numFmtId="165" fontId="0" fillId="45" borderId="0" xfId="0" applyNumberFormat="1" applyFill="1"/>
    <xf numFmtId="165" fontId="4" fillId="45" borderId="0" xfId="0" applyNumberFormat="1" applyFont="1" applyFill="1"/>
    <xf numFmtId="0" fontId="1" fillId="0" borderId="0" xfId="2" applyFont="1"/>
    <xf numFmtId="173" fontId="0" fillId="0" borderId="0" xfId="0" applyNumberFormat="1"/>
    <xf numFmtId="0" fontId="49" fillId="0" borderId="0" xfId="104" applyFont="1"/>
    <xf numFmtId="0" fontId="48" fillId="0" borderId="0" xfId="104"/>
    <xf numFmtId="0" fontId="50" fillId="0" borderId="0" xfId="104" applyFont="1"/>
    <xf numFmtId="0" fontId="51" fillId="0" borderId="0" xfId="104" applyFont="1"/>
    <xf numFmtId="0" fontId="52" fillId="0" borderId="0" xfId="104" applyFont="1"/>
    <xf numFmtId="0" fontId="53" fillId="0" borderId="0" xfId="104" applyFont="1"/>
    <xf numFmtId="0" fontId="48" fillId="0" borderId="0" xfId="104" applyAlignment="1">
      <alignment horizontal="left"/>
    </xf>
    <xf numFmtId="165" fontId="0" fillId="58" borderId="0" xfId="0" applyNumberFormat="1" applyFill="1"/>
    <xf numFmtId="0" fontId="0" fillId="11" borderId="0" xfId="0" applyFill="1"/>
    <xf numFmtId="166" fontId="0" fillId="11" borderId="0" xfId="0" applyNumberFormat="1" applyFill="1"/>
    <xf numFmtId="0" fontId="28" fillId="0" borderId="12" xfId="44" applyFont="1" applyBorder="1" applyAlignment="1">
      <alignment horizontal="left" wrapText="1"/>
    </xf>
    <xf numFmtId="0" fontId="28" fillId="0" borderId="13" xfId="44" applyFont="1" applyBorder="1" applyAlignment="1">
      <alignment horizontal="left" wrapText="1"/>
    </xf>
    <xf numFmtId="0" fontId="28" fillId="0" borderId="14" xfId="44" applyFont="1" applyBorder="1" applyAlignment="1">
      <alignment horizontal="left" wrapText="1"/>
    </xf>
    <xf numFmtId="0" fontId="2" fillId="0" borderId="15" xfId="44" applyBorder="1" applyAlignment="1">
      <alignment horizontal="left" wrapText="1"/>
    </xf>
    <xf numFmtId="0" fontId="2" fillId="0" borderId="16" xfId="44" applyBorder="1" applyAlignment="1">
      <alignment horizontal="left" wrapText="1"/>
    </xf>
    <xf numFmtId="0" fontId="2" fillId="0" borderId="17" xfId="44" applyBorder="1" applyAlignment="1">
      <alignment horizontal="left" wrapText="1"/>
    </xf>
    <xf numFmtId="0" fontId="29" fillId="0" borderId="18" xfId="44" applyFont="1" applyBorder="1" applyAlignment="1">
      <alignment horizontal="center" wrapText="1"/>
    </xf>
    <xf numFmtId="0" fontId="29" fillId="0" borderId="19" xfId="44" applyFont="1" applyBorder="1" applyAlignment="1">
      <alignment horizontal="center" wrapText="1"/>
    </xf>
    <xf numFmtId="0" fontId="29" fillId="0" borderId="22" xfId="44" applyFont="1" applyBorder="1" applyAlignment="1">
      <alignment horizontal="center" wrapText="1"/>
    </xf>
    <xf numFmtId="0" fontId="29" fillId="0" borderId="12" xfId="44" applyFont="1" applyBorder="1" applyAlignment="1">
      <alignment horizontal="center" wrapText="1"/>
    </xf>
    <xf numFmtId="0" fontId="29" fillId="0" borderId="13" xfId="44" applyFont="1" applyBorder="1" applyAlignment="1">
      <alignment horizontal="center" wrapText="1"/>
    </xf>
    <xf numFmtId="0" fontId="29" fillId="0" borderId="14" xfId="44" applyFont="1" applyBorder="1" applyAlignment="1">
      <alignment horizontal="center" wrapText="1"/>
    </xf>
    <xf numFmtId="0" fontId="29" fillId="0" borderId="20" xfId="44" applyFont="1" applyBorder="1" applyAlignment="1">
      <alignment horizontal="center" wrapText="1"/>
    </xf>
    <xf numFmtId="0" fontId="29" fillId="0" borderId="0" xfId="44" applyFont="1" applyBorder="1" applyAlignment="1">
      <alignment horizontal="center" wrapText="1"/>
    </xf>
    <xf numFmtId="0" fontId="29" fillId="0" borderId="21" xfId="44" applyFont="1" applyBorder="1" applyAlignment="1">
      <alignment horizontal="center" wrapText="1"/>
    </xf>
    <xf numFmtId="0" fontId="29" fillId="0" borderId="15" xfId="44" applyFont="1" applyBorder="1" applyAlignment="1">
      <alignment horizontal="center" wrapText="1"/>
    </xf>
    <xf numFmtId="0" fontId="29" fillId="0" borderId="16" xfId="44" applyFont="1" applyBorder="1" applyAlignment="1">
      <alignment horizontal="center" wrapText="1"/>
    </xf>
    <xf numFmtId="0" fontId="29" fillId="0" borderId="17" xfId="44" applyFont="1" applyBorder="1" applyAlignment="1">
      <alignment horizontal="center" wrapText="1"/>
    </xf>
    <xf numFmtId="0" fontId="2" fillId="0" borderId="12" xfId="44" applyBorder="1" applyAlignment="1">
      <alignment horizontal="center" wrapText="1"/>
    </xf>
    <xf numFmtId="0" fontId="2" fillId="0" borderId="14" xfId="44" applyBorder="1" applyAlignment="1">
      <alignment horizontal="center" wrapText="1"/>
    </xf>
    <xf numFmtId="0" fontId="2" fillId="0" borderId="20" xfId="44" applyBorder="1" applyAlignment="1">
      <alignment horizontal="center" wrapText="1"/>
    </xf>
    <xf numFmtId="0" fontId="2" fillId="0" borderId="21" xfId="44" applyBorder="1" applyAlignment="1">
      <alignment horizontal="center" wrapText="1"/>
    </xf>
    <xf numFmtId="0" fontId="30" fillId="0" borderId="12" xfId="44" applyFont="1" applyBorder="1" applyAlignment="1">
      <alignment vertical="top" wrapText="1"/>
    </xf>
    <xf numFmtId="0" fontId="30" fillId="0" borderId="13" xfId="44" applyFont="1" applyBorder="1" applyAlignment="1">
      <alignment vertical="top" wrapText="1"/>
    </xf>
    <xf numFmtId="0" fontId="30" fillId="0" borderId="14" xfId="44" applyFont="1" applyBorder="1" applyAlignment="1">
      <alignment vertical="top" wrapText="1"/>
    </xf>
    <xf numFmtId="0" fontId="30" fillId="0" borderId="20" xfId="44" applyFont="1" applyBorder="1" applyAlignment="1">
      <alignment vertical="top" wrapText="1"/>
    </xf>
    <xf numFmtId="0" fontId="30" fillId="0" borderId="0" xfId="44" applyFont="1" applyAlignment="1">
      <alignment vertical="top" wrapText="1"/>
    </xf>
    <xf numFmtId="0" fontId="30" fillId="0" borderId="21" xfId="44" applyFont="1" applyBorder="1" applyAlignment="1">
      <alignment vertical="top" wrapText="1"/>
    </xf>
    <xf numFmtId="0" fontId="31" fillId="0" borderId="0" xfId="44" applyFont="1" applyAlignment="1">
      <alignment vertical="top" wrapText="1"/>
    </xf>
    <xf numFmtId="0" fontId="31" fillId="0" borderId="21" xfId="44" applyFont="1" applyBorder="1" applyAlignment="1">
      <alignment vertical="top" wrapText="1"/>
    </xf>
    <xf numFmtId="0" fontId="31" fillId="0" borderId="20" xfId="44" applyFont="1" applyBorder="1" applyAlignment="1">
      <alignment vertical="top" wrapText="1"/>
    </xf>
    <xf numFmtId="0" fontId="34" fillId="0" borderId="0" xfId="45" applyAlignment="1">
      <alignment vertical="top" wrapText="1"/>
    </xf>
    <xf numFmtId="0" fontId="34" fillId="0" borderId="21" xfId="45" applyBorder="1" applyAlignment="1">
      <alignment vertical="top" wrapText="1"/>
    </xf>
    <xf numFmtId="0" fontId="31" fillId="0" borderId="16" xfId="44" applyFont="1" applyBorder="1" applyAlignment="1">
      <alignment vertical="top" wrapText="1"/>
    </xf>
    <xf numFmtId="0" fontId="31" fillId="0" borderId="17" xfId="44" applyFont="1" applyBorder="1" applyAlignment="1">
      <alignment vertical="top" wrapText="1"/>
    </xf>
    <xf numFmtId="0" fontId="31" fillId="0" borderId="15" xfId="44" applyFont="1" applyBorder="1" applyAlignment="1">
      <alignment vertical="top" wrapText="1"/>
    </xf>
  </cellXfs>
  <cellStyles count="1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lumn heading" xfId="46" xr:uid="{00000000-0005-0000-0000-00001B000000}"/>
    <cellStyle name="Comma 2" xfId="47" xr:uid="{00000000-0005-0000-0000-00001C000000}"/>
    <cellStyle name="Comma 3" xfId="48" xr:uid="{00000000-0005-0000-0000-00001D000000}"/>
    <cellStyle name="Comma0" xfId="49" xr:uid="{00000000-0005-0000-0000-00001E000000}"/>
    <cellStyle name="Corner heading" xfId="50" xr:uid="{00000000-0005-0000-0000-00001F000000}"/>
    <cellStyle name="Currency0" xfId="51" xr:uid="{00000000-0005-0000-0000-000020000000}"/>
    <cellStyle name="Data" xfId="52" xr:uid="{00000000-0005-0000-0000-000021000000}"/>
    <cellStyle name="Data no deci" xfId="53" xr:uid="{00000000-0005-0000-0000-000022000000}"/>
    <cellStyle name="Data Superscript" xfId="54" xr:uid="{00000000-0005-0000-0000-000023000000}"/>
    <cellStyle name="Data_1-1A-Regular" xfId="55" xr:uid="{00000000-0005-0000-0000-000024000000}"/>
    <cellStyle name="Data-one deci" xfId="56" xr:uid="{00000000-0005-0000-0000-000025000000}"/>
    <cellStyle name="Date" xfId="57" xr:uid="{00000000-0005-0000-0000-000026000000}"/>
    <cellStyle name="Explanatory Text 2" xfId="31" xr:uid="{00000000-0005-0000-0000-000027000000}"/>
    <cellStyle name="Fixed" xfId="58" xr:uid="{00000000-0005-0000-0000-000028000000}"/>
    <cellStyle name="Followed Hyperlink 2" xfId="59" xr:uid="{00000000-0005-0000-0000-000029000000}"/>
    <cellStyle name="Good 2" xfId="32" xr:uid="{00000000-0005-0000-0000-00002A000000}"/>
    <cellStyle name="Heading 1 2" xfId="33" xr:uid="{00000000-0005-0000-0000-00002B000000}"/>
    <cellStyle name="Heading 2 2" xfId="34" xr:uid="{00000000-0005-0000-0000-00002C000000}"/>
    <cellStyle name="Heading 3 2" xfId="35" xr:uid="{00000000-0005-0000-0000-00002D000000}"/>
    <cellStyle name="Heading 4 2" xfId="36" xr:uid="{00000000-0005-0000-0000-00002E000000}"/>
    <cellStyle name="Hed Side" xfId="60" xr:uid="{00000000-0005-0000-0000-00002F000000}"/>
    <cellStyle name="Hed Side bold" xfId="61" xr:uid="{00000000-0005-0000-0000-000030000000}"/>
    <cellStyle name="Hed Side Indent" xfId="62" xr:uid="{00000000-0005-0000-0000-000031000000}"/>
    <cellStyle name="Hed Side Regular" xfId="63" xr:uid="{00000000-0005-0000-0000-000032000000}"/>
    <cellStyle name="Hed Side_1-1A-Regular" xfId="64" xr:uid="{00000000-0005-0000-0000-000033000000}"/>
    <cellStyle name="Hed Top" xfId="65" xr:uid="{00000000-0005-0000-0000-000034000000}"/>
    <cellStyle name="Hed Top - SECTION" xfId="66" xr:uid="{00000000-0005-0000-0000-000035000000}"/>
    <cellStyle name="Hed Top_3-new4" xfId="67" xr:uid="{00000000-0005-0000-0000-000036000000}"/>
    <cellStyle name="Hyperlink" xfId="45" builtinId="8"/>
    <cellStyle name="Hyperlink 2" xfId="68" xr:uid="{00000000-0005-0000-0000-000038000000}"/>
    <cellStyle name="Input 2" xfId="37" xr:uid="{00000000-0005-0000-0000-000039000000}"/>
    <cellStyle name="Linked Cell 2" xfId="38" xr:uid="{00000000-0005-0000-0000-00003A000000}"/>
    <cellStyle name="Neutral 2" xfId="39" xr:uid="{00000000-0005-0000-0000-00003B000000}"/>
    <cellStyle name="Normal" xfId="0" builtinId="0"/>
    <cellStyle name="Normal 10" xfId="69" xr:uid="{00000000-0005-0000-0000-00003D000000}"/>
    <cellStyle name="Normal 11" xfId="44" xr:uid="{00000000-0005-0000-0000-00003E000000}"/>
    <cellStyle name="Normal 12" xfId="104" xr:uid="{52FC4385-B9C9-40AC-AB04-4DAA92792CEC}"/>
    <cellStyle name="Normal 2" xfId="2" xr:uid="{00000000-0005-0000-0000-00003F000000}"/>
    <cellStyle name="Normal 3" xfId="3" xr:uid="{00000000-0005-0000-0000-000040000000}"/>
    <cellStyle name="Normal 4" xfId="70" xr:uid="{00000000-0005-0000-0000-000041000000}"/>
    <cellStyle name="Normal 4 2" xfId="71" xr:uid="{00000000-0005-0000-0000-000042000000}"/>
    <cellStyle name="Normal 5" xfId="72" xr:uid="{00000000-0005-0000-0000-000043000000}"/>
    <cellStyle name="Normal 6" xfId="73" xr:uid="{00000000-0005-0000-0000-000044000000}"/>
    <cellStyle name="Normal 7" xfId="74" xr:uid="{00000000-0005-0000-0000-000045000000}"/>
    <cellStyle name="Normal 8" xfId="75" xr:uid="{00000000-0005-0000-0000-000046000000}"/>
    <cellStyle name="Normal 9" xfId="76" xr:uid="{00000000-0005-0000-0000-000047000000}"/>
    <cellStyle name="Note 2" xfId="40" xr:uid="{00000000-0005-0000-0000-000048000000}"/>
    <cellStyle name="Output 2" xfId="41" xr:uid="{00000000-0005-0000-0000-000049000000}"/>
    <cellStyle name="Percent" xfId="1" builtinId="5"/>
    <cellStyle name="Percent 2" xfId="77" xr:uid="{00000000-0005-0000-0000-00004B000000}"/>
    <cellStyle name="Percent 3" xfId="78" xr:uid="{00000000-0005-0000-0000-00004C000000}"/>
    <cellStyle name="Percent 4" xfId="79" xr:uid="{00000000-0005-0000-0000-00004D000000}"/>
    <cellStyle name="Reference" xfId="80" xr:uid="{00000000-0005-0000-0000-00004E000000}"/>
    <cellStyle name="Row heading" xfId="81" xr:uid="{00000000-0005-0000-0000-00004F000000}"/>
    <cellStyle name="Source Hed" xfId="82" xr:uid="{00000000-0005-0000-0000-000050000000}"/>
    <cellStyle name="Source Letter" xfId="83" xr:uid="{00000000-0005-0000-0000-000051000000}"/>
    <cellStyle name="Source Superscript" xfId="84" xr:uid="{00000000-0005-0000-0000-000052000000}"/>
    <cellStyle name="Source Text" xfId="85" xr:uid="{00000000-0005-0000-0000-000053000000}"/>
    <cellStyle name="State" xfId="86" xr:uid="{00000000-0005-0000-0000-000054000000}"/>
    <cellStyle name="Superscript" xfId="87" xr:uid="{00000000-0005-0000-0000-000055000000}"/>
    <cellStyle name="Superscript- regular" xfId="88" xr:uid="{00000000-0005-0000-0000-000056000000}"/>
    <cellStyle name="Superscript_1-1A-Regular" xfId="89" xr:uid="{00000000-0005-0000-0000-000057000000}"/>
    <cellStyle name="Table Data" xfId="90" xr:uid="{00000000-0005-0000-0000-000058000000}"/>
    <cellStyle name="Table Head Top" xfId="91" xr:uid="{00000000-0005-0000-0000-000059000000}"/>
    <cellStyle name="Table Hed Side" xfId="92" xr:uid="{00000000-0005-0000-0000-00005A000000}"/>
    <cellStyle name="Table Title" xfId="93" xr:uid="{00000000-0005-0000-0000-00005B000000}"/>
    <cellStyle name="Title Text" xfId="94" xr:uid="{00000000-0005-0000-0000-00005C000000}"/>
    <cellStyle name="Title Text 1" xfId="95" xr:uid="{00000000-0005-0000-0000-00005D000000}"/>
    <cellStyle name="Title Text 2" xfId="96" xr:uid="{00000000-0005-0000-0000-00005E000000}"/>
    <cellStyle name="Title-1" xfId="97" xr:uid="{00000000-0005-0000-0000-00005F000000}"/>
    <cellStyle name="Title-2" xfId="98" xr:uid="{00000000-0005-0000-0000-000060000000}"/>
    <cellStyle name="Title-3" xfId="99" xr:uid="{00000000-0005-0000-0000-000061000000}"/>
    <cellStyle name="Total 2" xfId="42" xr:uid="{00000000-0005-0000-0000-000062000000}"/>
    <cellStyle name="Warning Text 2" xfId="43" xr:uid="{00000000-0005-0000-0000-000063000000}"/>
    <cellStyle name="Wrap" xfId="100" xr:uid="{00000000-0005-0000-0000-000064000000}"/>
    <cellStyle name="Wrap Bold" xfId="101" xr:uid="{00000000-0005-0000-0000-000065000000}"/>
    <cellStyle name="Wrap Title" xfId="102" xr:uid="{00000000-0005-0000-0000-000066000000}"/>
    <cellStyle name="Wrap_NTS99-~11" xfId="103" xr:uid="{00000000-0005-0000-0000-00006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27161151536269"/>
          <c:y val="7.0652173913043473E-2"/>
          <c:w val="0.75993438917502232"/>
          <c:h val="0.81793478260869568"/>
        </c:manualLayout>
      </c:layout>
      <c:lineChart>
        <c:grouping val="standard"/>
        <c:varyColors val="0"/>
        <c:ser>
          <c:idx val="0"/>
          <c:order val="0"/>
          <c:tx>
            <c:strRef>
              <c:f>ASM_Annual_Elec_1970on!$F$54</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ASM_Annual_Elec_1970on!$G$53:$AZ$53</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ASM_Annual_Elec_1970on!$G$54:$AZ$54</c:f>
              <c:numCache>
                <c:formatCode>0.00</c:formatCode>
                <c:ptCount val="46"/>
                <c:pt idx="0">
                  <c:v>108.58771136767301</c:v>
                </c:pt>
                <c:pt idx="1">
                  <c:v>114.59481396162843</c:v>
                </c:pt>
                <c:pt idx="2">
                  <c:v>120.76546675433026</c:v>
                </c:pt>
                <c:pt idx="3">
                  <c:v>125.05336814146342</c:v>
                </c:pt>
                <c:pt idx="4">
                  <c:v>134.1583039116739</c:v>
                </c:pt>
                <c:pt idx="5">
                  <c:v>128.4176919356758</c:v>
                </c:pt>
                <c:pt idx="6">
                  <c:v>142.65329364655963</c:v>
                </c:pt>
                <c:pt idx="7">
                  <c:v>146.27160127882522</c:v>
                </c:pt>
                <c:pt idx="8">
                  <c:v>149.72058635238869</c:v>
                </c:pt>
                <c:pt idx="9">
                  <c:v>151.52637295854728</c:v>
                </c:pt>
                <c:pt idx="10">
                  <c:v>163.09225818989452</c:v>
                </c:pt>
                <c:pt idx="11">
                  <c:v>171.34577086663123</c:v>
                </c:pt>
                <c:pt idx="12">
                  <c:v>165.89954924837659</c:v>
                </c:pt>
                <c:pt idx="13">
                  <c:v>170.08451021629881</c:v>
                </c:pt>
                <c:pt idx="14">
                  <c:v>175.96365883123499</c:v>
                </c:pt>
                <c:pt idx="15">
                  <c:v>172.16705300536009</c:v>
                </c:pt>
                <c:pt idx="16">
                  <c:v>191.34435899034963</c:v>
                </c:pt>
                <c:pt idx="17">
                  <c:v>194.48346030722433</c:v>
                </c:pt>
                <c:pt idx="18">
                  <c:v>197.55336384638781</c:v>
                </c:pt>
                <c:pt idx="19">
                  <c:v>203.60553441825095</c:v>
                </c:pt>
                <c:pt idx="20">
                  <c:v>215.91304783726235</c:v>
                </c:pt>
                <c:pt idx="21">
                  <c:v>219.58196495057035</c:v>
                </c:pt>
                <c:pt idx="22">
                  <c:v>222.69125568365018</c:v>
                </c:pt>
                <c:pt idx="23">
                  <c:v>231.05282872547528</c:v>
                </c:pt>
                <c:pt idx="24">
                  <c:v>236.49778005779467</c:v>
                </c:pt>
                <c:pt idx="25">
                  <c:v>243.108920556654</c:v>
                </c:pt>
                <c:pt idx="26">
                  <c:v>239.95958617642583</c:v>
                </c:pt>
                <c:pt idx="27">
                  <c:v>239.01765260400001</c:v>
                </c:pt>
                <c:pt idx="28">
                  <c:v>247.72932454400001</c:v>
                </c:pt>
                <c:pt idx="29">
                  <c:v>241.930821616</c:v>
                </c:pt>
                <c:pt idx="30">
                  <c:v>251.9243376</c:v>
                </c:pt>
                <c:pt idx="31">
                  <c:v>247.14786856399999</c:v>
                </c:pt>
                <c:pt idx="32">
                  <c:v>243.73968318000001</c:v>
                </c:pt>
                <c:pt idx="33">
                  <c:v>244.92814419599998</c:v>
                </c:pt>
                <c:pt idx="34">
                  <c:v>252.8525722</c:v>
                </c:pt>
                <c:pt idx="35">
                  <c:v>256.52020947599999</c:v>
                </c:pt>
                <c:pt idx="36">
                  <c:v>245.509183912</c:v>
                </c:pt>
                <c:pt idx="37">
                  <c:v>252.53347172400001</c:v>
                </c:pt>
                <c:pt idx="38">
                  <c:v>231.50060375200002</c:v>
                </c:pt>
                <c:pt idx="39">
                  <c:v>221.86882800799998</c:v>
                </c:pt>
                <c:pt idx="40">
                  <c:v>229.32690385199999</c:v>
                </c:pt>
                <c:pt idx="41">
                  <c:v>228.31483299999999</c:v>
                </c:pt>
                <c:pt idx="42">
                  <c:v>220.31695828400001</c:v>
                </c:pt>
                <c:pt idx="43">
                  <c:v>206.06780824000001</c:v>
                </c:pt>
                <c:pt idx="44">
                  <c:v>204.47927316400001</c:v>
                </c:pt>
                <c:pt idx="45">
                  <c:v>209.27767453599998</c:v>
                </c:pt>
              </c:numCache>
            </c:numRef>
          </c:val>
          <c:smooth val="0"/>
          <c:extLst>
            <c:ext xmlns:c16="http://schemas.microsoft.com/office/drawing/2014/chart" uri="{C3380CC4-5D6E-409C-BE32-E72D297353CC}">
              <c16:uniqueId val="{00000000-E949-440E-B19B-D4D9DC0F4000}"/>
            </c:ext>
          </c:extLst>
        </c:ser>
        <c:ser>
          <c:idx val="1"/>
          <c:order val="1"/>
          <c:tx>
            <c:strRef>
              <c:f>ASM_Annual_Elec_1970on!$F$55</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ASM_Annual_Elec_1970on!$G$53:$AZ$53</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ASM_Annual_Elec_1970on!$G$55:$AZ$55</c:f>
              <c:numCache>
                <c:formatCode>0.00</c:formatCode>
                <c:ptCount val="46"/>
                <c:pt idx="0">
                  <c:v>19.654830045750757</c:v>
                </c:pt>
                <c:pt idx="1">
                  <c:v>18.859314067455642</c:v>
                </c:pt>
                <c:pt idx="2">
                  <c:v>19.523578840096089</c:v>
                </c:pt>
                <c:pt idx="3">
                  <c:v>21.555728488482785</c:v>
                </c:pt>
                <c:pt idx="4">
                  <c:v>20.445348627529562</c:v>
                </c:pt>
                <c:pt idx="5">
                  <c:v>23.292740227610388</c:v>
                </c:pt>
                <c:pt idx="6">
                  <c:v>24.453094053726716</c:v>
                </c:pt>
                <c:pt idx="7">
                  <c:v>26.273357004969821</c:v>
                </c:pt>
                <c:pt idx="8">
                  <c:v>25.406581480299</c:v>
                </c:pt>
                <c:pt idx="9">
                  <c:v>23.300642176861189</c:v>
                </c:pt>
                <c:pt idx="10">
                  <c:v>23.550910729039504</c:v>
                </c:pt>
                <c:pt idx="11">
                  <c:v>25.410316204946319</c:v>
                </c:pt>
                <c:pt idx="12">
                  <c:v>26.056743187171495</c:v>
                </c:pt>
                <c:pt idx="13">
                  <c:v>26.455827776869281</c:v>
                </c:pt>
                <c:pt idx="14">
                  <c:v>32.066297818155704</c:v>
                </c:pt>
                <c:pt idx="15">
                  <c:v>31.070213829376723</c:v>
                </c:pt>
                <c:pt idx="16">
                  <c:v>33.35837801904546</c:v>
                </c:pt>
                <c:pt idx="17">
                  <c:v>38.574928279933708</c:v>
                </c:pt>
                <c:pt idx="18">
                  <c:v>41.228554572525958</c:v>
                </c:pt>
                <c:pt idx="19">
                  <c:v>40.860254194455955</c:v>
                </c:pt>
                <c:pt idx="20">
                  <c:v>42.559536231756297</c:v>
                </c:pt>
                <c:pt idx="21">
                  <c:v>41.919301686389602</c:v>
                </c:pt>
                <c:pt idx="22">
                  <c:v>42.442327456311915</c:v>
                </c:pt>
                <c:pt idx="23">
                  <c:v>44.795820817640724</c:v>
                </c:pt>
                <c:pt idx="24">
                  <c:v>45.355872790684593</c:v>
                </c:pt>
                <c:pt idx="25">
                  <c:v>47.033576643384293</c:v>
                </c:pt>
                <c:pt idx="26">
                  <c:v>47.738300535909723</c:v>
                </c:pt>
                <c:pt idx="27">
                  <c:v>48.749823471999996</c:v>
                </c:pt>
                <c:pt idx="28">
                  <c:v>50.323086435999997</c:v>
                </c:pt>
                <c:pt idx="29">
                  <c:v>50.350853291999996</c:v>
                </c:pt>
                <c:pt idx="30">
                  <c:v>52.926108060000004</c:v>
                </c:pt>
                <c:pt idx="31">
                  <c:v>52.071531715999996</c:v>
                </c:pt>
                <c:pt idx="32">
                  <c:v>50.270889659999995</c:v>
                </c:pt>
                <c:pt idx="33">
                  <c:v>51.488345851999995</c:v>
                </c:pt>
                <c:pt idx="34">
                  <c:v>59.880651180000001</c:v>
                </c:pt>
                <c:pt idx="35">
                  <c:v>61.317075883999998</c:v>
                </c:pt>
                <c:pt idx="36">
                  <c:v>60.357440648000001</c:v>
                </c:pt>
                <c:pt idx="37">
                  <c:v>57.377631864000001</c:v>
                </c:pt>
                <c:pt idx="38">
                  <c:v>58.050478263999999</c:v>
                </c:pt>
                <c:pt idx="39">
                  <c:v>47.950862727999997</c:v>
                </c:pt>
                <c:pt idx="40">
                  <c:v>46.128059732000004</c:v>
                </c:pt>
                <c:pt idx="41">
                  <c:v>45.594692479999999</c:v>
                </c:pt>
                <c:pt idx="42">
                  <c:v>43.359470807999998</c:v>
                </c:pt>
                <c:pt idx="43">
                  <c:v>43.347716468000002</c:v>
                </c:pt>
                <c:pt idx="44">
                  <c:v>42.821162979999997</c:v>
                </c:pt>
                <c:pt idx="45">
                  <c:v>41.974297755999999</c:v>
                </c:pt>
              </c:numCache>
            </c:numRef>
          </c:val>
          <c:smooth val="0"/>
          <c:extLst>
            <c:ext xmlns:c16="http://schemas.microsoft.com/office/drawing/2014/chart" uri="{C3380CC4-5D6E-409C-BE32-E72D297353CC}">
              <c16:uniqueId val="{00000001-E949-440E-B19B-D4D9DC0F4000}"/>
            </c:ext>
          </c:extLst>
        </c:ser>
        <c:ser>
          <c:idx val="2"/>
          <c:order val="2"/>
          <c:tx>
            <c:strRef>
              <c:f>ASM_Annual_Elec_1970on!$F$56</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ASM_Annual_Elec_1970on!$G$53:$AZ$53</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ASM_Annual_Elec_1970on!$G$56:$AZ$56</c:f>
              <c:numCache>
                <c:formatCode>0.00</c:formatCode>
                <c:ptCount val="46"/>
                <c:pt idx="0">
                  <c:v>75.005281332783184</c:v>
                </c:pt>
                <c:pt idx="1">
                  <c:v>80.509696332573895</c:v>
                </c:pt>
                <c:pt idx="2">
                  <c:v>84.700773717477233</c:v>
                </c:pt>
                <c:pt idx="3">
                  <c:v>88.748814332442336</c:v>
                </c:pt>
                <c:pt idx="4">
                  <c:v>92.967898917053859</c:v>
                </c:pt>
                <c:pt idx="5">
                  <c:v>90.097160946964934</c:v>
                </c:pt>
                <c:pt idx="6">
                  <c:v>94.582313928804211</c:v>
                </c:pt>
                <c:pt idx="7">
                  <c:v>102.90945455632693</c:v>
                </c:pt>
                <c:pt idx="8">
                  <c:v>103.28054995246039</c:v>
                </c:pt>
                <c:pt idx="9">
                  <c:v>107.74569779165097</c:v>
                </c:pt>
                <c:pt idx="10">
                  <c:v>109.93626091168396</c:v>
                </c:pt>
                <c:pt idx="11">
                  <c:v>111.07655404266006</c:v>
                </c:pt>
                <c:pt idx="12">
                  <c:v>116.66999192723749</c:v>
                </c:pt>
                <c:pt idx="13">
                  <c:v>114.14034163930897</c:v>
                </c:pt>
                <c:pt idx="14">
                  <c:v>118.75852881976211</c:v>
                </c:pt>
                <c:pt idx="15">
                  <c:v>119.90803231841366</c:v>
                </c:pt>
                <c:pt idx="16">
                  <c:v>126.48259921823126</c:v>
                </c:pt>
                <c:pt idx="17">
                  <c:v>114.14641279999999</c:v>
                </c:pt>
                <c:pt idx="18">
                  <c:v>117.47174800000001</c:v>
                </c:pt>
                <c:pt idx="19">
                  <c:v>116.4321116</c:v>
                </c:pt>
                <c:pt idx="20">
                  <c:v>120.3296392</c:v>
                </c:pt>
                <c:pt idx="21">
                  <c:v>119.63222639999999</c:v>
                </c:pt>
                <c:pt idx="22">
                  <c:v>120.65616759999999</c:v>
                </c:pt>
                <c:pt idx="23">
                  <c:v>116.03256639999999</c:v>
                </c:pt>
                <c:pt idx="24">
                  <c:v>119.13475679999999</c:v>
                </c:pt>
                <c:pt idx="25">
                  <c:v>121.335838</c:v>
                </c:pt>
                <c:pt idx="26">
                  <c:v>121.163532</c:v>
                </c:pt>
                <c:pt idx="27">
                  <c:v>118.26324158200001</c:v>
                </c:pt>
                <c:pt idx="28">
                  <c:v>115.36295116400001</c:v>
                </c:pt>
                <c:pt idx="29">
                  <c:v>113.69422044</c:v>
                </c:pt>
                <c:pt idx="30">
                  <c:v>134.34793673600001</c:v>
                </c:pt>
                <c:pt idx="31">
                  <c:v>141.62263805199999</c:v>
                </c:pt>
                <c:pt idx="32">
                  <c:v>133.38386248799998</c:v>
                </c:pt>
                <c:pt idx="33">
                  <c:v>136.040435452</c:v>
                </c:pt>
                <c:pt idx="34">
                  <c:v>146.70073129999997</c:v>
                </c:pt>
                <c:pt idx="35">
                  <c:v>167.58738483599998</c:v>
                </c:pt>
                <c:pt idx="36">
                  <c:v>168.53377468799999</c:v>
                </c:pt>
                <c:pt idx="37">
                  <c:v>167.6105762</c:v>
                </c:pt>
                <c:pt idx="38">
                  <c:v>172.90319212399999</c:v>
                </c:pt>
                <c:pt idx="39">
                  <c:v>163.05532759599998</c:v>
                </c:pt>
                <c:pt idx="40">
                  <c:v>164.91379281599998</c:v>
                </c:pt>
                <c:pt idx="41">
                  <c:v>171.975315784</c:v>
                </c:pt>
                <c:pt idx="42">
                  <c:v>174.67706704</c:v>
                </c:pt>
                <c:pt idx="43">
                  <c:v>175.214051012</c:v>
                </c:pt>
                <c:pt idx="44">
                  <c:v>181.76113991600002</c:v>
                </c:pt>
                <c:pt idx="45">
                  <c:v>180.96192668399999</c:v>
                </c:pt>
              </c:numCache>
            </c:numRef>
          </c:val>
          <c:smooth val="0"/>
          <c:extLst>
            <c:ext xmlns:c16="http://schemas.microsoft.com/office/drawing/2014/chart" uri="{C3380CC4-5D6E-409C-BE32-E72D297353CC}">
              <c16:uniqueId val="{00000002-E949-440E-B19B-D4D9DC0F4000}"/>
            </c:ext>
          </c:extLst>
        </c:ser>
        <c:ser>
          <c:idx val="3"/>
          <c:order val="3"/>
          <c:tx>
            <c:strRef>
              <c:f>ASM_Annual_Elec_1970on!$F$57</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ASM_Annual_Elec_1970on!$G$53:$AZ$53</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ASM_Annual_Elec_1970on!$G$57:$AZ$57</c:f>
              <c:numCache>
                <c:formatCode>0.00</c:formatCode>
                <c:ptCount val="46"/>
                <c:pt idx="0">
                  <c:v>307.71763286030676</c:v>
                </c:pt>
                <c:pt idx="1">
                  <c:v>339.63013688506902</c:v>
                </c:pt>
                <c:pt idx="2">
                  <c:v>389.21899303889154</c:v>
                </c:pt>
                <c:pt idx="3">
                  <c:v>415.85896106974752</c:v>
                </c:pt>
                <c:pt idx="4">
                  <c:v>416.6583226238227</c:v>
                </c:pt>
                <c:pt idx="5">
                  <c:v>420.93444986989203</c:v>
                </c:pt>
                <c:pt idx="6">
                  <c:v>479.13142441099154</c:v>
                </c:pt>
                <c:pt idx="7">
                  <c:v>492.76729336074919</c:v>
                </c:pt>
                <c:pt idx="8">
                  <c:v>485.7629766175441</c:v>
                </c:pt>
                <c:pt idx="9">
                  <c:v>485.89298713713947</c:v>
                </c:pt>
                <c:pt idx="10">
                  <c:v>445.86904553824206</c:v>
                </c:pt>
                <c:pt idx="11">
                  <c:v>443.64159968298549</c:v>
                </c:pt>
                <c:pt idx="12">
                  <c:v>404.67805638453848</c:v>
                </c:pt>
                <c:pt idx="13">
                  <c:v>428.97681935549195</c:v>
                </c:pt>
                <c:pt idx="14">
                  <c:v>461.3707685856312</c:v>
                </c:pt>
                <c:pt idx="15">
                  <c:v>436.18818800822464</c:v>
                </c:pt>
                <c:pt idx="16">
                  <c:v>414.78711209278379</c:v>
                </c:pt>
                <c:pt idx="17">
                  <c:v>430.71601679865086</c:v>
                </c:pt>
                <c:pt idx="18">
                  <c:v>436.09388806745358</c:v>
                </c:pt>
                <c:pt idx="19">
                  <c:v>461.83742461517704</c:v>
                </c:pt>
                <c:pt idx="20">
                  <c:v>490.50716601146706</c:v>
                </c:pt>
                <c:pt idx="21">
                  <c:v>496.71773098954463</c:v>
                </c:pt>
                <c:pt idx="22">
                  <c:v>495.33325646542994</c:v>
                </c:pt>
                <c:pt idx="23">
                  <c:v>505.41737125666094</c:v>
                </c:pt>
                <c:pt idx="24">
                  <c:v>529.47404492411465</c:v>
                </c:pt>
                <c:pt idx="25">
                  <c:v>523.466804075548</c:v>
                </c:pt>
                <c:pt idx="26">
                  <c:v>548.79503290387856</c:v>
                </c:pt>
                <c:pt idx="27">
                  <c:v>535.96464723600002</c:v>
                </c:pt>
                <c:pt idx="28">
                  <c:v>520.46306800000002</c:v>
                </c:pt>
                <c:pt idx="29">
                  <c:v>542.14351992399997</c:v>
                </c:pt>
                <c:pt idx="30">
                  <c:v>555.82240193600001</c:v>
                </c:pt>
                <c:pt idx="31">
                  <c:v>518.00046382400001</c:v>
                </c:pt>
                <c:pt idx="32">
                  <c:v>505.95882659999995</c:v>
                </c:pt>
                <c:pt idx="33">
                  <c:v>541.32503912800007</c:v>
                </c:pt>
                <c:pt idx="34">
                  <c:v>534.51343151200001</c:v>
                </c:pt>
                <c:pt idx="35">
                  <c:v>521.76233371599994</c:v>
                </c:pt>
                <c:pt idx="36">
                  <c:v>532.21748647599998</c:v>
                </c:pt>
                <c:pt idx="37">
                  <c:v>550.50749882799994</c:v>
                </c:pt>
                <c:pt idx="38">
                  <c:v>536.77850136000006</c:v>
                </c:pt>
                <c:pt idx="39">
                  <c:v>469.80293055599998</c:v>
                </c:pt>
                <c:pt idx="40">
                  <c:v>509.31938387599996</c:v>
                </c:pt>
                <c:pt idx="41">
                  <c:v>529.71076855199999</c:v>
                </c:pt>
                <c:pt idx="42">
                  <c:v>540.27317753199998</c:v>
                </c:pt>
                <c:pt idx="43">
                  <c:v>529.74683339199998</c:v>
                </c:pt>
                <c:pt idx="44">
                  <c:v>522.15054083999996</c:v>
                </c:pt>
                <c:pt idx="45">
                  <c:v>518.67282913199995</c:v>
                </c:pt>
              </c:numCache>
            </c:numRef>
          </c:val>
          <c:smooth val="0"/>
          <c:extLst>
            <c:ext xmlns:c16="http://schemas.microsoft.com/office/drawing/2014/chart" uri="{C3380CC4-5D6E-409C-BE32-E72D297353CC}">
              <c16:uniqueId val="{00000003-E949-440E-B19B-D4D9DC0F4000}"/>
            </c:ext>
          </c:extLst>
        </c:ser>
        <c:dLbls>
          <c:showLegendKey val="0"/>
          <c:showVal val="0"/>
          <c:showCatName val="0"/>
          <c:showSerName val="0"/>
          <c:showPercent val="0"/>
          <c:showBubbleSize val="0"/>
        </c:dLbls>
        <c:marker val="1"/>
        <c:smooth val="0"/>
        <c:axId val="124153856"/>
        <c:axId val="124201216"/>
      </c:lineChart>
      <c:catAx>
        <c:axId val="12415385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4201216"/>
        <c:crosses val="autoZero"/>
        <c:auto val="1"/>
        <c:lblAlgn val="ctr"/>
        <c:lblOffset val="100"/>
        <c:tickLblSkip val="3"/>
        <c:tickMarkSkip val="1"/>
        <c:noMultiLvlLbl val="0"/>
      </c:catAx>
      <c:valAx>
        <c:axId val="124201216"/>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24153856"/>
        <c:crosses val="autoZero"/>
        <c:crossBetween val="between"/>
      </c:valAx>
      <c:spPr>
        <a:solidFill>
          <a:srgbClr val="C0C0C0"/>
        </a:solidFill>
        <a:ln w="12700">
          <a:solidFill>
            <a:srgbClr val="808080"/>
          </a:solidFill>
          <a:prstDash val="solid"/>
        </a:ln>
      </c:spPr>
    </c:plotArea>
    <c:legend>
      <c:legendPos val="r"/>
      <c:layout>
        <c:manualLayout>
          <c:xMode val="edge"/>
          <c:yMode val="edge"/>
          <c:x val="0.87734741616512435"/>
          <c:y val="0.36413053538085643"/>
          <c:w val="9.9337748344370813E-2"/>
          <c:h val="0.23097826086956524"/>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200" verticalDpi="200" copies="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8639619605022988E-2"/>
          <c:y val="9.0909090909090912E-2"/>
          <c:w val="0.75000124561750237"/>
          <c:h val="0.76623376623376627"/>
        </c:manualLayout>
      </c:layout>
      <c:lineChart>
        <c:grouping val="standard"/>
        <c:varyColors val="0"/>
        <c:ser>
          <c:idx val="0"/>
          <c:order val="0"/>
          <c:tx>
            <c:strRef>
              <c:f>ASM_Annual_Elec_1970on!$F$76</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ASM_Annual_Elec_1970on!$G$75:$AZ$75</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ASM_Annual_Elec_1970on!$G$76:$AZ$76</c:f>
              <c:numCache>
                <c:formatCode>#,##0.00</c:formatCode>
                <c:ptCount val="46"/>
                <c:pt idx="0">
                  <c:v>49.600380017543152</c:v>
                </c:pt>
                <c:pt idx="1">
                  <c:v>53.826868551945594</c:v>
                </c:pt>
                <c:pt idx="2">
                  <c:v>60.348937719884226</c:v>
                </c:pt>
                <c:pt idx="3">
                  <c:v>66.703824482228868</c:v>
                </c:pt>
                <c:pt idx="4">
                  <c:v>63.294672152952593</c:v>
                </c:pt>
                <c:pt idx="5">
                  <c:v>62.690469073086597</c:v>
                </c:pt>
                <c:pt idx="6">
                  <c:v>65.882577577556631</c:v>
                </c:pt>
                <c:pt idx="7">
                  <c:v>75.246747640593085</c:v>
                </c:pt>
                <c:pt idx="8">
                  <c:v>76.62526923057861</c:v>
                </c:pt>
                <c:pt idx="9">
                  <c:v>76.185315531647063</c:v>
                </c:pt>
                <c:pt idx="10">
                  <c:v>72.257017837631565</c:v>
                </c:pt>
                <c:pt idx="11">
                  <c:v>76.434622627708279</c:v>
                </c:pt>
                <c:pt idx="12">
                  <c:v>102.73309940006341</c:v>
                </c:pt>
                <c:pt idx="13">
                  <c:v>106.87941859377166</c:v>
                </c:pt>
                <c:pt idx="14">
                  <c:v>98.576025782603509</c:v>
                </c:pt>
                <c:pt idx="15">
                  <c:v>100.41672362169106</c:v>
                </c:pt>
                <c:pt idx="16">
                  <c:v>104.1491801306292</c:v>
                </c:pt>
                <c:pt idx="17">
                  <c:v>110.34914765901638</c:v>
                </c:pt>
                <c:pt idx="18">
                  <c:v>116.07783040218577</c:v>
                </c:pt>
                <c:pt idx="19">
                  <c:v>118.75510933989071</c:v>
                </c:pt>
                <c:pt idx="20">
                  <c:v>122.40925133551912</c:v>
                </c:pt>
                <c:pt idx="21">
                  <c:v>120.58301469289617</c:v>
                </c:pt>
                <c:pt idx="22">
                  <c:v>126.47322860109288</c:v>
                </c:pt>
                <c:pt idx="23">
                  <c:v>138.51030407431693</c:v>
                </c:pt>
                <c:pt idx="24">
                  <c:v>147.55271189508196</c:v>
                </c:pt>
                <c:pt idx="25">
                  <c:v>154.46017165245902</c:v>
                </c:pt>
                <c:pt idx="26">
                  <c:v>166.77825795409836</c:v>
                </c:pt>
                <c:pt idx="27">
                  <c:v>170.17742038799997</c:v>
                </c:pt>
                <c:pt idx="28">
                  <c:v>171.04344057999998</c:v>
                </c:pt>
                <c:pt idx="29">
                  <c:v>180.8895684</c:v>
                </c:pt>
                <c:pt idx="30">
                  <c:v>186.67535139199998</c:v>
                </c:pt>
                <c:pt idx="31">
                  <c:v>188.27252565200001</c:v>
                </c:pt>
                <c:pt idx="32">
                  <c:v>184.49908566799999</c:v>
                </c:pt>
                <c:pt idx="33">
                  <c:v>189.65162875599998</c:v>
                </c:pt>
                <c:pt idx="34">
                  <c:v>216.57722544799998</c:v>
                </c:pt>
                <c:pt idx="35">
                  <c:v>223.40631956399997</c:v>
                </c:pt>
                <c:pt idx="36">
                  <c:v>220.01886207999999</c:v>
                </c:pt>
                <c:pt idx="37">
                  <c:v>207.53010613999999</c:v>
                </c:pt>
                <c:pt idx="38">
                  <c:v>199.834729108</c:v>
                </c:pt>
                <c:pt idx="39">
                  <c:v>163.97076378400001</c:v>
                </c:pt>
                <c:pt idx="40">
                  <c:v>171.66115588400001</c:v>
                </c:pt>
                <c:pt idx="41">
                  <c:v>175.84163040799999</c:v>
                </c:pt>
                <c:pt idx="42">
                  <c:v>178.53335720800001</c:v>
                </c:pt>
                <c:pt idx="43">
                  <c:v>179.59327794799998</c:v>
                </c:pt>
                <c:pt idx="44">
                  <c:v>178.72704962399999</c:v>
                </c:pt>
                <c:pt idx="45">
                  <c:v>181.37546449599998</c:v>
                </c:pt>
              </c:numCache>
            </c:numRef>
          </c:val>
          <c:smooth val="0"/>
          <c:extLst>
            <c:ext xmlns:c16="http://schemas.microsoft.com/office/drawing/2014/chart" uri="{C3380CC4-5D6E-409C-BE32-E72D297353CC}">
              <c16:uniqueId val="{00000000-53EE-422E-AA3D-012D804FF6D7}"/>
            </c:ext>
          </c:extLst>
        </c:ser>
        <c:ser>
          <c:idx val="1"/>
          <c:order val="1"/>
          <c:tx>
            <c:strRef>
              <c:f>ASM_Annual_Elec_1970on!$F$77</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ASM_Annual_Elec_1970on!$G$75:$AZ$75</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ASM_Annual_Elec_1970on!$G$77:$AZ$77</c:f>
              <c:numCache>
                <c:formatCode>#,##0.00</c:formatCode>
                <c:ptCount val="46"/>
                <c:pt idx="0">
                  <c:v>83.09963951188027</c:v>
                </c:pt>
                <c:pt idx="1">
                  <c:v>85.36480021614156</c:v>
                </c:pt>
                <c:pt idx="2">
                  <c:v>93.019861225102431</c:v>
                </c:pt>
                <c:pt idx="3">
                  <c:v>97.93789479308947</c:v>
                </c:pt>
                <c:pt idx="4">
                  <c:v>99.178172967293563</c:v>
                </c:pt>
                <c:pt idx="5">
                  <c:v>95.025545316182075</c:v>
                </c:pt>
                <c:pt idx="6">
                  <c:v>99.937567842937113</c:v>
                </c:pt>
                <c:pt idx="7">
                  <c:v>105.71017110607445</c:v>
                </c:pt>
                <c:pt idx="8">
                  <c:v>111.96265582756705</c:v>
                </c:pt>
                <c:pt idx="9">
                  <c:v>112.75410958978128</c:v>
                </c:pt>
                <c:pt idx="10">
                  <c:v>104.2765377722408</c:v>
                </c:pt>
                <c:pt idx="11">
                  <c:v>102.92004613421788</c:v>
                </c:pt>
                <c:pt idx="12">
                  <c:v>95.280012728337027</c:v>
                </c:pt>
                <c:pt idx="13">
                  <c:v>95.532476460081341</c:v>
                </c:pt>
                <c:pt idx="14">
                  <c:v>102.69563392822297</c:v>
                </c:pt>
                <c:pt idx="15">
                  <c:v>104.31492989185355</c:v>
                </c:pt>
                <c:pt idx="16">
                  <c:v>108.11468858436993</c:v>
                </c:pt>
                <c:pt idx="17">
                  <c:v>113.86799359999998</c:v>
                </c:pt>
                <c:pt idx="18">
                  <c:v>116.29324320000001</c:v>
                </c:pt>
                <c:pt idx="19">
                  <c:v>113.7366316</c:v>
                </c:pt>
                <c:pt idx="20">
                  <c:v>115.537144</c:v>
                </c:pt>
                <c:pt idx="21">
                  <c:v>112.2251156</c:v>
                </c:pt>
                <c:pt idx="22">
                  <c:v>115.1096204</c:v>
                </c:pt>
                <c:pt idx="23">
                  <c:v>117.2912532</c:v>
                </c:pt>
                <c:pt idx="24">
                  <c:v>119.70421959999999</c:v>
                </c:pt>
                <c:pt idx="25">
                  <c:v>123.5822988</c:v>
                </c:pt>
                <c:pt idx="26">
                  <c:v>127.288072</c:v>
                </c:pt>
                <c:pt idx="27">
                  <c:v>128.38429642</c:v>
                </c:pt>
                <c:pt idx="28">
                  <c:v>131.55392499999999</c:v>
                </c:pt>
                <c:pt idx="29">
                  <c:v>137.15007926800001</c:v>
                </c:pt>
                <c:pt idx="30">
                  <c:v>140.30935583999999</c:v>
                </c:pt>
                <c:pt idx="31">
                  <c:v>140.31999104400001</c:v>
                </c:pt>
                <c:pt idx="32">
                  <c:v>139.16903131999999</c:v>
                </c:pt>
                <c:pt idx="33">
                  <c:v>139.718660164</c:v>
                </c:pt>
                <c:pt idx="34">
                  <c:v>151.96005633999999</c:v>
                </c:pt>
                <c:pt idx="35">
                  <c:v>158.331884452</c:v>
                </c:pt>
                <c:pt idx="36">
                  <c:v>157.69310346</c:v>
                </c:pt>
                <c:pt idx="37">
                  <c:v>156.99244243599998</c:v>
                </c:pt>
                <c:pt idx="38">
                  <c:v>148.58574188</c:v>
                </c:pt>
                <c:pt idx="39">
                  <c:v>117.327584176</c:v>
                </c:pt>
                <c:pt idx="40">
                  <c:v>120.60719175200001</c:v>
                </c:pt>
                <c:pt idx="41">
                  <c:v>120.78136070399999</c:v>
                </c:pt>
                <c:pt idx="42">
                  <c:v>120.404798736</c:v>
                </c:pt>
                <c:pt idx="43">
                  <c:v>119.71339788</c:v>
                </c:pt>
                <c:pt idx="44">
                  <c:v>121.96623911999998</c:v>
                </c:pt>
                <c:pt idx="45">
                  <c:v>125.64074134000001</c:v>
                </c:pt>
              </c:numCache>
            </c:numRef>
          </c:val>
          <c:smooth val="0"/>
          <c:extLst>
            <c:ext xmlns:c16="http://schemas.microsoft.com/office/drawing/2014/chart" uri="{C3380CC4-5D6E-409C-BE32-E72D297353CC}">
              <c16:uniqueId val="{00000001-53EE-422E-AA3D-012D804FF6D7}"/>
            </c:ext>
          </c:extLst>
        </c:ser>
        <c:ser>
          <c:idx val="2"/>
          <c:order val="2"/>
          <c:tx>
            <c:strRef>
              <c:f>ASM_Annual_Elec_1970on!$F$78</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ASM_Annual_Elec_1970on!$G$75:$AZ$75</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ASM_Annual_Elec_1970on!$G$78:$AZ$78</c:f>
              <c:numCache>
                <c:formatCode>#,##0.00</c:formatCode>
                <c:ptCount val="46"/>
                <c:pt idx="0">
                  <c:v>426.50175179106191</c:v>
                </c:pt>
                <c:pt idx="1">
                  <c:v>411.16701485644825</c:v>
                </c:pt>
                <c:pt idx="2">
                  <c:v>439.78238163247892</c:v>
                </c:pt>
                <c:pt idx="3">
                  <c:v>517.83358362160118</c:v>
                </c:pt>
                <c:pt idx="4">
                  <c:v>562.96552904368673</c:v>
                </c:pt>
                <c:pt idx="5">
                  <c:v>477.02013064758233</c:v>
                </c:pt>
                <c:pt idx="6">
                  <c:v>513.3155215270391</c:v>
                </c:pt>
                <c:pt idx="7">
                  <c:v>546.84224862779843</c:v>
                </c:pt>
                <c:pt idx="8">
                  <c:v>570.97167915480054</c:v>
                </c:pt>
                <c:pt idx="9">
                  <c:v>594.40115565336237</c:v>
                </c:pt>
                <c:pt idx="10">
                  <c:v>560.6368919977499</c:v>
                </c:pt>
                <c:pt idx="11">
                  <c:v>565.61834507636979</c:v>
                </c:pt>
                <c:pt idx="12">
                  <c:v>409.27743103280136</c:v>
                </c:pt>
                <c:pt idx="13">
                  <c:v>399.59100184924336</c:v>
                </c:pt>
                <c:pt idx="14">
                  <c:v>477.04349489887937</c:v>
                </c:pt>
                <c:pt idx="15">
                  <c:v>442.28070778392737</c:v>
                </c:pt>
                <c:pt idx="16">
                  <c:v>416.67634970436404</c:v>
                </c:pt>
                <c:pt idx="17">
                  <c:v>434.03147016125655</c:v>
                </c:pt>
                <c:pt idx="18">
                  <c:v>499.72452113089003</c:v>
                </c:pt>
                <c:pt idx="19">
                  <c:v>488.47492132774869</c:v>
                </c:pt>
                <c:pt idx="20">
                  <c:v>494.40657078534031</c:v>
                </c:pt>
                <c:pt idx="21">
                  <c:v>490.50840187225128</c:v>
                </c:pt>
                <c:pt idx="22">
                  <c:v>478.26664963350788</c:v>
                </c:pt>
                <c:pt idx="23">
                  <c:v>470.67033718115181</c:v>
                </c:pt>
                <c:pt idx="24">
                  <c:v>475.66366162931934</c:v>
                </c:pt>
                <c:pt idx="25">
                  <c:v>470.03205023246073</c:v>
                </c:pt>
                <c:pt idx="26">
                  <c:v>479.4804248670157</c:v>
                </c:pt>
                <c:pt idx="27">
                  <c:v>452.448700148</c:v>
                </c:pt>
                <c:pt idx="28">
                  <c:v>444.10567774799995</c:v>
                </c:pt>
                <c:pt idx="29">
                  <c:v>456.774188084</c:v>
                </c:pt>
                <c:pt idx="30">
                  <c:v>467.44607449599999</c:v>
                </c:pt>
                <c:pt idx="31">
                  <c:v>424.81313449599998</c:v>
                </c:pt>
                <c:pt idx="32">
                  <c:v>450.38293204399997</c:v>
                </c:pt>
                <c:pt idx="33">
                  <c:v>428.65577325199996</c:v>
                </c:pt>
                <c:pt idx="34">
                  <c:v>439.55877489599999</c:v>
                </c:pt>
                <c:pt idx="35">
                  <c:v>456.79283125199998</c:v>
                </c:pt>
                <c:pt idx="36">
                  <c:v>443.67349676800001</c:v>
                </c:pt>
                <c:pt idx="37">
                  <c:v>466.72509842399995</c:v>
                </c:pt>
                <c:pt idx="38">
                  <c:v>473.65823124400004</c:v>
                </c:pt>
                <c:pt idx="39">
                  <c:v>354.88301735599998</c:v>
                </c:pt>
                <c:pt idx="40">
                  <c:v>403.28624645599996</c:v>
                </c:pt>
                <c:pt idx="41">
                  <c:v>465.72311003200002</c:v>
                </c:pt>
                <c:pt idx="42">
                  <c:v>454.57251319599999</c:v>
                </c:pt>
                <c:pt idx="43">
                  <c:v>418.22865689599996</c:v>
                </c:pt>
                <c:pt idx="44">
                  <c:v>405.70103486399995</c:v>
                </c:pt>
                <c:pt idx="45">
                  <c:v>396.96090343200001</c:v>
                </c:pt>
              </c:numCache>
            </c:numRef>
          </c:val>
          <c:smooth val="0"/>
          <c:extLst>
            <c:ext xmlns:c16="http://schemas.microsoft.com/office/drawing/2014/chart" uri="{C3380CC4-5D6E-409C-BE32-E72D297353CC}">
              <c16:uniqueId val="{00000002-53EE-422E-AA3D-012D804FF6D7}"/>
            </c:ext>
          </c:extLst>
        </c:ser>
        <c:ser>
          <c:idx val="3"/>
          <c:order val="3"/>
          <c:tx>
            <c:strRef>
              <c:f>ASM_Annual_Elec_1970on!$F$79</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ASM_Annual_Elec_1970on!$G$75:$AZ$75</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ASM_Annual_Elec_1970on!$G$79:$AZ$79</c:f>
              <c:numCache>
                <c:formatCode>#,##0.00</c:formatCode>
                <c:ptCount val="46"/>
                <c:pt idx="0">
                  <c:v>88.207733644374215</c:v>
                </c:pt>
                <c:pt idx="1">
                  <c:v>85.11641875877983</c:v>
                </c:pt>
                <c:pt idx="2">
                  <c:v>89.536101378028846</c:v>
                </c:pt>
                <c:pt idx="3">
                  <c:v>95.312741402814737</c:v>
                </c:pt>
                <c:pt idx="4">
                  <c:v>93.567265093831494</c:v>
                </c:pt>
                <c:pt idx="5">
                  <c:v>91.456613034538748</c:v>
                </c:pt>
                <c:pt idx="6">
                  <c:v>96.333721148603033</c:v>
                </c:pt>
                <c:pt idx="7">
                  <c:v>98.450059104997237</c:v>
                </c:pt>
                <c:pt idx="8">
                  <c:v>99.68694956190491</c:v>
                </c:pt>
                <c:pt idx="9">
                  <c:v>100.54861346665994</c:v>
                </c:pt>
                <c:pt idx="10">
                  <c:v>98.257936313930443</c:v>
                </c:pt>
                <c:pt idx="11">
                  <c:v>98.168027240306643</c:v>
                </c:pt>
                <c:pt idx="12">
                  <c:v>98.27917660387196</c:v>
                </c:pt>
                <c:pt idx="13">
                  <c:v>93.823028041871936</c:v>
                </c:pt>
                <c:pt idx="14">
                  <c:v>103.75610658890153</c:v>
                </c:pt>
                <c:pt idx="15">
                  <c:v>101.88131778091361</c:v>
                </c:pt>
                <c:pt idx="16">
                  <c:v>98.889662395434385</c:v>
                </c:pt>
                <c:pt idx="17">
                  <c:v>111.79253633733873</c:v>
                </c:pt>
                <c:pt idx="18">
                  <c:v>118.75029238507044</c:v>
                </c:pt>
                <c:pt idx="19">
                  <c:v>120.58309233333516</c:v>
                </c:pt>
                <c:pt idx="20">
                  <c:v>120.9145451690495</c:v>
                </c:pt>
                <c:pt idx="21">
                  <c:v>118.55444953613846</c:v>
                </c:pt>
                <c:pt idx="22">
                  <c:v>114.50817795082392</c:v>
                </c:pt>
                <c:pt idx="23">
                  <c:v>121.96741559942353</c:v>
                </c:pt>
                <c:pt idx="24">
                  <c:v>123.24366390142647</c:v>
                </c:pt>
                <c:pt idx="25">
                  <c:v>130.09231242172157</c:v>
                </c:pt>
                <c:pt idx="26">
                  <c:v>135.3525343201872</c:v>
                </c:pt>
                <c:pt idx="27">
                  <c:v>141.63235883999999</c:v>
                </c:pt>
                <c:pt idx="28">
                  <c:v>145.711790396</c:v>
                </c:pt>
                <c:pt idx="29">
                  <c:v>154.172833876</c:v>
                </c:pt>
                <c:pt idx="30">
                  <c:v>159.80022841600001</c:v>
                </c:pt>
                <c:pt idx="31">
                  <c:v>156.85912877199999</c:v>
                </c:pt>
                <c:pt idx="32">
                  <c:v>139.449968576</c:v>
                </c:pt>
                <c:pt idx="33">
                  <c:v>144.44251274799998</c:v>
                </c:pt>
                <c:pt idx="34">
                  <c:v>168.11313650400001</c:v>
                </c:pt>
                <c:pt idx="35">
                  <c:v>180.60769625599997</c:v>
                </c:pt>
                <c:pt idx="36">
                  <c:v>179.19403641600002</c:v>
                </c:pt>
                <c:pt idx="37">
                  <c:v>162.483268264</c:v>
                </c:pt>
                <c:pt idx="38">
                  <c:v>166.160735512</c:v>
                </c:pt>
                <c:pt idx="39">
                  <c:v>128.06374925599999</c:v>
                </c:pt>
                <c:pt idx="40">
                  <c:v>135.48137584</c:v>
                </c:pt>
                <c:pt idx="41">
                  <c:v>148.81893502</c:v>
                </c:pt>
                <c:pt idx="42">
                  <c:v>141.51061867999999</c:v>
                </c:pt>
                <c:pt idx="43">
                  <c:v>146.36505874000002</c:v>
                </c:pt>
                <c:pt idx="44">
                  <c:v>149.814583916</c:v>
                </c:pt>
                <c:pt idx="45">
                  <c:v>147.86258895199998</c:v>
                </c:pt>
              </c:numCache>
            </c:numRef>
          </c:val>
          <c:smooth val="0"/>
          <c:extLst>
            <c:ext xmlns:c16="http://schemas.microsoft.com/office/drawing/2014/chart" uri="{C3380CC4-5D6E-409C-BE32-E72D297353CC}">
              <c16:uniqueId val="{00000003-53EE-422E-AA3D-012D804FF6D7}"/>
            </c:ext>
          </c:extLst>
        </c:ser>
        <c:dLbls>
          <c:showLegendKey val="0"/>
          <c:showVal val="0"/>
          <c:showCatName val="0"/>
          <c:showSerName val="0"/>
          <c:showPercent val="0"/>
          <c:showBubbleSize val="0"/>
        </c:dLbls>
        <c:marker val="1"/>
        <c:smooth val="0"/>
        <c:axId val="122810368"/>
        <c:axId val="124203520"/>
      </c:lineChart>
      <c:catAx>
        <c:axId val="1228103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4203520"/>
        <c:crosses val="autoZero"/>
        <c:auto val="1"/>
        <c:lblAlgn val="ctr"/>
        <c:lblOffset val="100"/>
        <c:tickLblSkip val="3"/>
        <c:tickMarkSkip val="1"/>
        <c:noMultiLvlLbl val="0"/>
      </c:catAx>
      <c:valAx>
        <c:axId val="124203520"/>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22810368"/>
        <c:crosses val="autoZero"/>
        <c:crossBetween val="between"/>
      </c:valAx>
      <c:spPr>
        <a:solidFill>
          <a:srgbClr val="C0C0C0"/>
        </a:solidFill>
        <a:ln w="12700">
          <a:solidFill>
            <a:srgbClr val="808080"/>
          </a:solidFill>
          <a:prstDash val="solid"/>
        </a:ln>
      </c:spPr>
    </c:plotArea>
    <c:legend>
      <c:legendPos val="r"/>
      <c:layout>
        <c:manualLayout>
          <c:xMode val="edge"/>
          <c:yMode val="edge"/>
          <c:x val="0.86734836716838959"/>
          <c:y val="0.31818181818181818"/>
          <c:w val="0.11904779759672901"/>
          <c:h val="0.3149350649350649"/>
        </c:manualLayout>
      </c:layout>
      <c:overlay val="0"/>
      <c:spPr>
        <a:solidFill>
          <a:srgbClr val="FFFFFF"/>
        </a:solidFill>
        <a:ln w="3175">
          <a:solidFill>
            <a:srgbClr val="000000"/>
          </a:solidFill>
          <a:prstDash val="solid"/>
        </a:ln>
      </c:spPr>
      <c:txPr>
        <a:bodyPr/>
        <a:lstStyle/>
        <a:p>
          <a:pPr>
            <a:defRPr sz="8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414986605459791"/>
          <c:y val="8.8815932128797237E-2"/>
          <c:w val="0.73469509774775743"/>
          <c:h val="0.71381693599811114"/>
        </c:manualLayout>
      </c:layout>
      <c:lineChart>
        <c:grouping val="standard"/>
        <c:varyColors val="0"/>
        <c:ser>
          <c:idx val="0"/>
          <c:order val="0"/>
          <c:tx>
            <c:strRef>
              <c:f>ASM_Annual_Elec_1970on!$F$97</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ASM_Annual_Elec_1970on!$G$96:$AZ$96</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ASM_Annual_Elec_1970on!$G$97:$AZ$97</c:f>
              <c:numCache>
                <c:formatCode>#,##0.00</c:formatCode>
                <c:ptCount val="46"/>
                <c:pt idx="0">
                  <c:v>49.146771419212747</c:v>
                </c:pt>
                <c:pt idx="1">
                  <c:v>50.672480361975495</c:v>
                </c:pt>
                <c:pt idx="2">
                  <c:v>54.494863556225191</c:v>
                </c:pt>
                <c:pt idx="3">
                  <c:v>59.995842783381313</c:v>
                </c:pt>
                <c:pt idx="4">
                  <c:v>59.090472386854145</c:v>
                </c:pt>
                <c:pt idx="5">
                  <c:v>62.476829897752097</c:v>
                </c:pt>
                <c:pt idx="6">
                  <c:v>64.285047980263272</c:v>
                </c:pt>
                <c:pt idx="7">
                  <c:v>65.89501569794686</c:v>
                </c:pt>
                <c:pt idx="8">
                  <c:v>69.255618510796182</c:v>
                </c:pt>
                <c:pt idx="9">
                  <c:v>68.944876451337223</c:v>
                </c:pt>
                <c:pt idx="10">
                  <c:v>67.657653162344744</c:v>
                </c:pt>
                <c:pt idx="11">
                  <c:v>70.539359324951576</c:v>
                </c:pt>
                <c:pt idx="12">
                  <c:v>65.858556139703268</c:v>
                </c:pt>
                <c:pt idx="13">
                  <c:v>60.37462341613103</c:v>
                </c:pt>
                <c:pt idx="14">
                  <c:v>66.269951701626596</c:v>
                </c:pt>
                <c:pt idx="15">
                  <c:v>65.617783639784349</c:v>
                </c:pt>
                <c:pt idx="16">
                  <c:v>64.832173576690579</c:v>
                </c:pt>
                <c:pt idx="17">
                  <c:v>75.036505038745617</c:v>
                </c:pt>
                <c:pt idx="18">
                  <c:v>77.692193284222668</c:v>
                </c:pt>
                <c:pt idx="19">
                  <c:v>82.222593006052819</c:v>
                </c:pt>
                <c:pt idx="20">
                  <c:v>83.868091472972651</c:v>
                </c:pt>
                <c:pt idx="21">
                  <c:v>82.396721447131014</c:v>
                </c:pt>
                <c:pt idx="22">
                  <c:v>76.935392520099057</c:v>
                </c:pt>
                <c:pt idx="23">
                  <c:v>80.611369381665114</c:v>
                </c:pt>
                <c:pt idx="24">
                  <c:v>85.185224707419891</c:v>
                </c:pt>
                <c:pt idx="25">
                  <c:v>86.617117459273658</c:v>
                </c:pt>
                <c:pt idx="26">
                  <c:v>87.864782932517485</c:v>
                </c:pt>
                <c:pt idx="27">
                  <c:v>91.946374692000006</c:v>
                </c:pt>
                <c:pt idx="28">
                  <c:v>92.773699392000012</c:v>
                </c:pt>
                <c:pt idx="29">
                  <c:v>90.795930179999999</c:v>
                </c:pt>
                <c:pt idx="30">
                  <c:v>94.666874887999995</c:v>
                </c:pt>
                <c:pt idx="31">
                  <c:v>92.647602108000001</c:v>
                </c:pt>
                <c:pt idx="32">
                  <c:v>82.569779015999998</c:v>
                </c:pt>
                <c:pt idx="33">
                  <c:v>82.280649548</c:v>
                </c:pt>
                <c:pt idx="34">
                  <c:v>96.618532063999993</c:v>
                </c:pt>
                <c:pt idx="35">
                  <c:v>103.62875561200001</c:v>
                </c:pt>
                <c:pt idx="36">
                  <c:v>106.736016244</c:v>
                </c:pt>
                <c:pt idx="37">
                  <c:v>105.377490912</c:v>
                </c:pt>
                <c:pt idx="38">
                  <c:v>102.92644659199999</c:v>
                </c:pt>
                <c:pt idx="39">
                  <c:v>80.589184668000001</c:v>
                </c:pt>
                <c:pt idx="40">
                  <c:v>80.164175712000002</c:v>
                </c:pt>
                <c:pt idx="41">
                  <c:v>88.023710887999997</c:v>
                </c:pt>
                <c:pt idx="42">
                  <c:v>83.639372775999988</c:v>
                </c:pt>
                <c:pt idx="43">
                  <c:v>85.032806280000003</c:v>
                </c:pt>
                <c:pt idx="44">
                  <c:v>87.051430780000004</c:v>
                </c:pt>
                <c:pt idx="45">
                  <c:v>84.493259895999998</c:v>
                </c:pt>
              </c:numCache>
            </c:numRef>
          </c:val>
          <c:smooth val="0"/>
          <c:extLst>
            <c:ext xmlns:c16="http://schemas.microsoft.com/office/drawing/2014/chart" uri="{C3380CC4-5D6E-409C-BE32-E72D297353CC}">
              <c16:uniqueId val="{00000000-3908-41E8-B945-A567BD1A317E}"/>
            </c:ext>
          </c:extLst>
        </c:ser>
        <c:ser>
          <c:idx val="1"/>
          <c:order val="1"/>
          <c:tx>
            <c:strRef>
              <c:f>ASM_Annual_Elec_1970on!$F$98</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ASM_Annual_Elec_1970on!$G$96:$AZ$96</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ASM_Annual_Elec_1970on!$G$98:$AZ$98</c:f>
              <c:numCache>
                <c:formatCode>#,##0.00</c:formatCode>
                <c:ptCount val="46"/>
                <c:pt idx="0">
                  <c:v>55.768804756254276</c:v>
                </c:pt>
                <c:pt idx="1">
                  <c:v>56.157957193533868</c:v>
                </c:pt>
                <c:pt idx="2">
                  <c:v>60.018130936339354</c:v>
                </c:pt>
                <c:pt idx="3">
                  <c:v>63.023316795133937</c:v>
                </c:pt>
                <c:pt idx="4">
                  <c:v>59.624570698434098</c:v>
                </c:pt>
                <c:pt idx="5">
                  <c:v>61.063698296722293</c:v>
                </c:pt>
                <c:pt idx="6">
                  <c:v>60.338488977250819</c:v>
                </c:pt>
                <c:pt idx="7">
                  <c:v>62.768469320083639</c:v>
                </c:pt>
                <c:pt idx="8">
                  <c:v>66.83112026826484</c:v>
                </c:pt>
                <c:pt idx="9">
                  <c:v>71.80496186305507</c:v>
                </c:pt>
                <c:pt idx="10">
                  <c:v>76.722165922369328</c:v>
                </c:pt>
                <c:pt idx="11">
                  <c:v>82.038856225600497</c:v>
                </c:pt>
                <c:pt idx="12">
                  <c:v>87.574955762683544</c:v>
                </c:pt>
                <c:pt idx="13">
                  <c:v>91.804424701552975</c:v>
                </c:pt>
                <c:pt idx="14">
                  <c:v>99.624101734044345</c:v>
                </c:pt>
                <c:pt idx="15">
                  <c:v>105.43131708009108</c:v>
                </c:pt>
                <c:pt idx="16">
                  <c:v>110.14540497741316</c:v>
                </c:pt>
                <c:pt idx="17">
                  <c:v>117.30317472933524</c:v>
                </c:pt>
                <c:pt idx="18">
                  <c:v>120.097983423326</c:v>
                </c:pt>
                <c:pt idx="19">
                  <c:v>123.33101691991858</c:v>
                </c:pt>
                <c:pt idx="20">
                  <c:v>126.73288702710265</c:v>
                </c:pt>
                <c:pt idx="21">
                  <c:v>125.49737823004109</c:v>
                </c:pt>
                <c:pt idx="22">
                  <c:v>121.64152523659999</c:v>
                </c:pt>
                <c:pt idx="23">
                  <c:v>123.37528963114035</c:v>
                </c:pt>
                <c:pt idx="24">
                  <c:v>124.94734607198089</c:v>
                </c:pt>
                <c:pt idx="25">
                  <c:v>125.59605384912012</c:v>
                </c:pt>
                <c:pt idx="26">
                  <c:v>126.7992960939353</c:v>
                </c:pt>
                <c:pt idx="27">
                  <c:v>128.99854854399999</c:v>
                </c:pt>
                <c:pt idx="28">
                  <c:v>127.959284052</c:v>
                </c:pt>
                <c:pt idx="29">
                  <c:v>123.546483036</c:v>
                </c:pt>
                <c:pt idx="30">
                  <c:v>133.54378634</c:v>
                </c:pt>
                <c:pt idx="31">
                  <c:v>128.93979731600001</c:v>
                </c:pt>
                <c:pt idx="32">
                  <c:v>111.118071728</c:v>
                </c:pt>
                <c:pt idx="33">
                  <c:v>112.69819281199999</c:v>
                </c:pt>
                <c:pt idx="34">
                  <c:v>116.681218308</c:v>
                </c:pt>
                <c:pt idx="35">
                  <c:v>116.74021861200001</c:v>
                </c:pt>
                <c:pt idx="36">
                  <c:v>117.602925752</c:v>
                </c:pt>
                <c:pt idx="37">
                  <c:v>115.96706964800001</c:v>
                </c:pt>
                <c:pt idx="38">
                  <c:v>114.43627584799999</c:v>
                </c:pt>
                <c:pt idx="39">
                  <c:v>100.66183054</c:v>
                </c:pt>
                <c:pt idx="40">
                  <c:v>94.309365528000001</c:v>
                </c:pt>
                <c:pt idx="41">
                  <c:v>94.879961112000004</c:v>
                </c:pt>
                <c:pt idx="42">
                  <c:v>141.09177179600002</c:v>
                </c:pt>
                <c:pt idx="43">
                  <c:v>126.094001656</c:v>
                </c:pt>
                <c:pt idx="44">
                  <c:v>150.502760432</c:v>
                </c:pt>
                <c:pt idx="45">
                  <c:v>161.45564210399999</c:v>
                </c:pt>
              </c:numCache>
            </c:numRef>
          </c:val>
          <c:smooth val="0"/>
          <c:extLst>
            <c:ext xmlns:c16="http://schemas.microsoft.com/office/drawing/2014/chart" uri="{C3380CC4-5D6E-409C-BE32-E72D297353CC}">
              <c16:uniqueId val="{00000001-3908-41E8-B945-A567BD1A317E}"/>
            </c:ext>
          </c:extLst>
        </c:ser>
        <c:ser>
          <c:idx val="2"/>
          <c:order val="2"/>
          <c:tx>
            <c:strRef>
              <c:f>ASM_Annual_Elec_1970on!$F$99</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ASM_Annual_Elec_1970on!$G$96:$AZ$96</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ASM_Annual_Elec_1970on!$G$99:$AZ$99</c:f>
              <c:numCache>
                <c:formatCode>#,##0.00</c:formatCode>
                <c:ptCount val="46"/>
                <c:pt idx="0">
                  <c:v>42.736834095881441</c:v>
                </c:pt>
                <c:pt idx="1">
                  <c:v>41.995861907408873</c:v>
                </c:pt>
                <c:pt idx="2">
                  <c:v>45.057180980695868</c:v>
                </c:pt>
                <c:pt idx="3">
                  <c:v>48.615364691617302</c:v>
                </c:pt>
                <c:pt idx="4">
                  <c:v>47.215931861924567</c:v>
                </c:pt>
                <c:pt idx="5">
                  <c:v>44.298578464270889</c:v>
                </c:pt>
                <c:pt idx="6">
                  <c:v>44.572779783199536</c:v>
                </c:pt>
                <c:pt idx="7">
                  <c:v>47.430719507533297</c:v>
                </c:pt>
                <c:pt idx="8">
                  <c:v>49.574142426015122</c:v>
                </c:pt>
                <c:pt idx="9">
                  <c:v>51.059900570314859</c:v>
                </c:pt>
                <c:pt idx="10">
                  <c:v>48.015074997710698</c:v>
                </c:pt>
                <c:pt idx="11">
                  <c:v>47.519846717161876</c:v>
                </c:pt>
                <c:pt idx="12">
                  <c:v>48.285332079830781</c:v>
                </c:pt>
                <c:pt idx="13">
                  <c:v>48.39489167539756</c:v>
                </c:pt>
                <c:pt idx="14">
                  <c:v>51.312498489490061</c:v>
                </c:pt>
                <c:pt idx="15">
                  <c:v>49.021047347800362</c:v>
                </c:pt>
                <c:pt idx="16">
                  <c:v>49.843814070592941</c:v>
                </c:pt>
                <c:pt idx="17">
                  <c:v>51.594232792454768</c:v>
                </c:pt>
                <c:pt idx="18">
                  <c:v>53.163690091160618</c:v>
                </c:pt>
                <c:pt idx="19">
                  <c:v>53.39730074266356</c:v>
                </c:pt>
                <c:pt idx="20">
                  <c:v>53.927901631120662</c:v>
                </c:pt>
                <c:pt idx="21">
                  <c:v>51.473161533067156</c:v>
                </c:pt>
                <c:pt idx="22">
                  <c:v>49.12202268046277</c:v>
                </c:pt>
                <c:pt idx="23">
                  <c:v>51.668175642147865</c:v>
                </c:pt>
                <c:pt idx="24">
                  <c:v>52.586367072402908</c:v>
                </c:pt>
                <c:pt idx="25">
                  <c:v>53.684133994769773</c:v>
                </c:pt>
                <c:pt idx="26">
                  <c:v>53.999000525056346</c:v>
                </c:pt>
                <c:pt idx="27">
                  <c:v>56.083009879999999</c:v>
                </c:pt>
                <c:pt idx="28">
                  <c:v>55.019660080000001</c:v>
                </c:pt>
                <c:pt idx="29">
                  <c:v>54.704630119999997</c:v>
                </c:pt>
                <c:pt idx="30">
                  <c:v>55.079076648000004</c:v>
                </c:pt>
                <c:pt idx="31">
                  <c:v>52.979321611999993</c:v>
                </c:pt>
                <c:pt idx="32">
                  <c:v>47.035614199999998</c:v>
                </c:pt>
                <c:pt idx="33">
                  <c:v>46.385491719999997</c:v>
                </c:pt>
                <c:pt idx="34">
                  <c:v>48.922020288000006</c:v>
                </c:pt>
                <c:pt idx="35">
                  <c:v>51.191931763999996</c:v>
                </c:pt>
                <c:pt idx="36">
                  <c:v>51.663726063999995</c:v>
                </c:pt>
                <c:pt idx="37">
                  <c:v>52.612490668</c:v>
                </c:pt>
                <c:pt idx="38">
                  <c:v>50.072976600000004</c:v>
                </c:pt>
                <c:pt idx="39">
                  <c:v>39.156026699999998</c:v>
                </c:pt>
                <c:pt idx="40">
                  <c:v>39.913531644000003</c:v>
                </c:pt>
                <c:pt idx="41">
                  <c:v>43.524294291999993</c:v>
                </c:pt>
                <c:pt idx="42">
                  <c:v>42.068765799999994</c:v>
                </c:pt>
                <c:pt idx="43">
                  <c:v>38.609277583999997</c:v>
                </c:pt>
                <c:pt idx="44">
                  <c:v>36.611210383999996</c:v>
                </c:pt>
                <c:pt idx="45">
                  <c:v>36.592806056000001</c:v>
                </c:pt>
              </c:numCache>
            </c:numRef>
          </c:val>
          <c:smooth val="0"/>
          <c:extLst>
            <c:ext xmlns:c16="http://schemas.microsoft.com/office/drawing/2014/chart" uri="{C3380CC4-5D6E-409C-BE32-E72D297353CC}">
              <c16:uniqueId val="{00000002-3908-41E8-B945-A567BD1A317E}"/>
            </c:ext>
          </c:extLst>
        </c:ser>
        <c:ser>
          <c:idx val="3"/>
          <c:order val="3"/>
          <c:tx>
            <c:strRef>
              <c:f>ASM_Annual_Elec_1970on!$F$100</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ASM_Annual_Elec_1970on!$G$96:$AZ$96</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ASM_Annual_Elec_1970on!$G$100:$AZ$100</c:f>
              <c:numCache>
                <c:formatCode>#,##0.00</c:formatCode>
                <c:ptCount val="46"/>
                <c:pt idx="0">
                  <c:v>108.45534171392897</c:v>
                </c:pt>
                <c:pt idx="1">
                  <c:v>113.63216523814549</c:v>
                </c:pt>
                <c:pt idx="2">
                  <c:v>117.52319894989643</c:v>
                </c:pt>
                <c:pt idx="3">
                  <c:v>126.65495057620718</c:v>
                </c:pt>
                <c:pt idx="4">
                  <c:v>111.76929889391631</c:v>
                </c:pt>
                <c:pt idx="5">
                  <c:v>109.36353827720538</c:v>
                </c:pt>
                <c:pt idx="6">
                  <c:v>116.60003904808401</c:v>
                </c:pt>
                <c:pt idx="7">
                  <c:v>122.08421943882026</c:v>
                </c:pt>
                <c:pt idx="8">
                  <c:v>123.61164856516096</c:v>
                </c:pt>
                <c:pt idx="9">
                  <c:v>123.45790824378136</c:v>
                </c:pt>
                <c:pt idx="10">
                  <c:v>115.87371521980836</c:v>
                </c:pt>
                <c:pt idx="11">
                  <c:v>116.16068263250745</c:v>
                </c:pt>
                <c:pt idx="12">
                  <c:v>111.13395505936607</c:v>
                </c:pt>
                <c:pt idx="13">
                  <c:v>118.48834823482299</c:v>
                </c:pt>
                <c:pt idx="14">
                  <c:v>138.40793909185925</c:v>
                </c:pt>
                <c:pt idx="15">
                  <c:v>133.44202150333211</c:v>
                </c:pt>
                <c:pt idx="16">
                  <c:v>137.93991163514653</c:v>
                </c:pt>
                <c:pt idx="17">
                  <c:v>148.48101866152217</c:v>
                </c:pt>
                <c:pt idx="18">
                  <c:v>154.05119390842597</c:v>
                </c:pt>
                <c:pt idx="19">
                  <c:v>152.37196480633253</c:v>
                </c:pt>
                <c:pt idx="20">
                  <c:v>153.23725770984589</c:v>
                </c:pt>
                <c:pt idx="21">
                  <c:v>146.74468901249639</c:v>
                </c:pt>
                <c:pt idx="22">
                  <c:v>151.69351570431976</c:v>
                </c:pt>
                <c:pt idx="23">
                  <c:v>158.65707944559645</c:v>
                </c:pt>
                <c:pt idx="24">
                  <c:v>162.54126812923144</c:v>
                </c:pt>
                <c:pt idx="25">
                  <c:v>165.69294802145021</c:v>
                </c:pt>
                <c:pt idx="26">
                  <c:v>164.64250068173021</c:v>
                </c:pt>
                <c:pt idx="27">
                  <c:v>181.49709206</c:v>
                </c:pt>
                <c:pt idx="28">
                  <c:v>175.71835826</c:v>
                </c:pt>
                <c:pt idx="29">
                  <c:v>181.08791137200001</c:v>
                </c:pt>
                <c:pt idx="30">
                  <c:v>186.38836807199999</c:v>
                </c:pt>
                <c:pt idx="31">
                  <c:v>189.42251977999999</c:v>
                </c:pt>
                <c:pt idx="32">
                  <c:v>181.823920716</c:v>
                </c:pt>
                <c:pt idx="33">
                  <c:v>178.301098956</c:v>
                </c:pt>
                <c:pt idx="34">
                  <c:v>192.51036271999999</c:v>
                </c:pt>
                <c:pt idx="35">
                  <c:v>196.24766279999997</c:v>
                </c:pt>
                <c:pt idx="36">
                  <c:v>189.979061336</c:v>
                </c:pt>
                <c:pt idx="37">
                  <c:v>194.72188122799997</c:v>
                </c:pt>
                <c:pt idx="38">
                  <c:v>189.70901518399998</c:v>
                </c:pt>
                <c:pt idx="39">
                  <c:v>149.042844108</c:v>
                </c:pt>
                <c:pt idx="40">
                  <c:v>176.70813510400001</c:v>
                </c:pt>
                <c:pt idx="41">
                  <c:v>197.729702532</c:v>
                </c:pt>
                <c:pt idx="42">
                  <c:v>195.46619537999999</c:v>
                </c:pt>
                <c:pt idx="43">
                  <c:v>194.855908</c:v>
                </c:pt>
                <c:pt idx="44">
                  <c:v>199.433143532</c:v>
                </c:pt>
                <c:pt idx="45">
                  <c:v>208.29709303199999</c:v>
                </c:pt>
              </c:numCache>
            </c:numRef>
          </c:val>
          <c:smooth val="0"/>
          <c:extLst>
            <c:ext xmlns:c16="http://schemas.microsoft.com/office/drawing/2014/chart" uri="{C3380CC4-5D6E-409C-BE32-E72D297353CC}">
              <c16:uniqueId val="{00000003-3908-41E8-B945-A567BD1A317E}"/>
            </c:ext>
          </c:extLst>
        </c:ser>
        <c:dLbls>
          <c:showLegendKey val="0"/>
          <c:showVal val="0"/>
          <c:showCatName val="0"/>
          <c:showSerName val="0"/>
          <c:showPercent val="0"/>
          <c:showBubbleSize val="0"/>
        </c:dLbls>
        <c:marker val="1"/>
        <c:smooth val="0"/>
        <c:axId val="90000384"/>
        <c:axId val="124205824"/>
      </c:lineChart>
      <c:catAx>
        <c:axId val="9000038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24205824"/>
        <c:crosses val="autoZero"/>
        <c:auto val="1"/>
        <c:lblAlgn val="ctr"/>
        <c:lblOffset val="100"/>
        <c:tickLblSkip val="3"/>
        <c:tickMarkSkip val="1"/>
        <c:noMultiLvlLbl val="0"/>
      </c:catAx>
      <c:valAx>
        <c:axId val="124205824"/>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Arial"/>
                <a:ea typeface="Arial"/>
                <a:cs typeface="Arial"/>
              </a:defRPr>
            </a:pPr>
            <a:endParaRPr lang="en-US"/>
          </a:p>
        </c:txPr>
        <c:crossAx val="90000384"/>
        <c:crosses val="autoZero"/>
        <c:crossBetween val="between"/>
      </c:valAx>
      <c:spPr>
        <a:solidFill>
          <a:srgbClr val="C0C0C0"/>
        </a:solidFill>
        <a:ln w="12700">
          <a:solidFill>
            <a:srgbClr val="808080"/>
          </a:solidFill>
          <a:prstDash val="solid"/>
        </a:ln>
      </c:spPr>
    </c:plotArea>
    <c:legend>
      <c:legendPos val="r"/>
      <c:layout>
        <c:manualLayout>
          <c:xMode val="edge"/>
          <c:yMode val="edge"/>
          <c:x val="0.87755244880104266"/>
          <c:y val="0.29276350324630473"/>
          <c:w val="0.10884371596407594"/>
          <c:h val="0.30592139798314688"/>
        </c:manualLayout>
      </c:layout>
      <c:overlay val="0"/>
      <c:spPr>
        <a:solidFill>
          <a:srgbClr val="FFFFFF"/>
        </a:solidFill>
        <a:ln w="3175">
          <a:solidFill>
            <a:srgbClr val="000000"/>
          </a:solidFill>
          <a:prstDash val="solid"/>
        </a:ln>
      </c:spPr>
      <c:txPr>
        <a:bodyPr/>
        <a:lstStyle/>
        <a:p>
          <a:pPr>
            <a:defRPr sz="81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139942089325508"/>
          <c:y val="9.8113388328029794E-2"/>
          <c:w val="0.71605082153987742"/>
          <c:h val="0.67547294271989744"/>
        </c:manualLayout>
      </c:layout>
      <c:lineChart>
        <c:grouping val="standard"/>
        <c:varyColors val="0"/>
        <c:ser>
          <c:idx val="0"/>
          <c:order val="0"/>
          <c:tx>
            <c:strRef>
              <c:f>ASM_Annual_Elec_1970on!$F$128</c:f>
              <c:strCache>
                <c:ptCount val="1"/>
                <c:pt idx="0">
                  <c:v>337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ASM_Annual_Elec_1970on!$G$127:$AZ$127</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ASM_Annual_Elec_1970on!$G$128:$AZ$128</c:f>
              <c:numCache>
                <c:formatCode>0.00</c:formatCode>
                <c:ptCount val="46"/>
                <c:pt idx="0">
                  <c:v>12.44405467911435</c:v>
                </c:pt>
                <c:pt idx="1">
                  <c:v>12.336058878660573</c:v>
                </c:pt>
                <c:pt idx="2">
                  <c:v>12.731387038245137</c:v>
                </c:pt>
                <c:pt idx="3">
                  <c:v>13.986013375658354</c:v>
                </c:pt>
                <c:pt idx="4">
                  <c:v>14.820557030777211</c:v>
                </c:pt>
                <c:pt idx="5">
                  <c:v>14.3946598811398</c:v>
                </c:pt>
                <c:pt idx="6">
                  <c:v>14.682192626123481</c:v>
                </c:pt>
                <c:pt idx="7">
                  <c:v>15.484543619761297</c:v>
                </c:pt>
                <c:pt idx="8">
                  <c:v>15.674755031924223</c:v>
                </c:pt>
                <c:pt idx="9">
                  <c:v>14.899658795801846</c:v>
                </c:pt>
                <c:pt idx="10">
                  <c:v>14.599259313499147</c:v>
                </c:pt>
                <c:pt idx="11">
                  <c:v>15.055654728339254</c:v>
                </c:pt>
                <c:pt idx="12">
                  <c:v>14.591748829131578</c:v>
                </c:pt>
                <c:pt idx="13">
                  <c:v>15.657903048161847</c:v>
                </c:pt>
                <c:pt idx="14">
                  <c:v>16.909370656623675</c:v>
                </c:pt>
                <c:pt idx="15">
                  <c:v>16.585356641514487</c:v>
                </c:pt>
                <c:pt idx="16">
                  <c:v>17.322169875097099</c:v>
                </c:pt>
                <c:pt idx="17">
                  <c:v>21.359852613141975</c:v>
                </c:pt>
                <c:pt idx="18">
                  <c:v>22.199010092285135</c:v>
                </c:pt>
                <c:pt idx="19">
                  <c:v>23.355205032498805</c:v>
                </c:pt>
                <c:pt idx="20">
                  <c:v>22.280034512346635</c:v>
                </c:pt>
                <c:pt idx="21">
                  <c:v>21.53568569070282</c:v>
                </c:pt>
                <c:pt idx="22">
                  <c:v>22.237673197293738</c:v>
                </c:pt>
                <c:pt idx="23">
                  <c:v>24.134854950020038</c:v>
                </c:pt>
                <c:pt idx="24">
                  <c:v>24.760861050246227</c:v>
                </c:pt>
                <c:pt idx="25">
                  <c:v>25.688439369539484</c:v>
                </c:pt>
                <c:pt idx="26">
                  <c:v>25.845108995052591</c:v>
                </c:pt>
                <c:pt idx="27">
                  <c:v>28.695360147999999</c:v>
                </c:pt>
                <c:pt idx="28">
                  <c:v>28.813957855999998</c:v>
                </c:pt>
                <c:pt idx="29">
                  <c:v>28.427545444</c:v>
                </c:pt>
                <c:pt idx="30">
                  <c:v>29.604579672</c:v>
                </c:pt>
                <c:pt idx="31">
                  <c:v>27.776730327999999</c:v>
                </c:pt>
                <c:pt idx="32">
                  <c:v>27.030744296000002</c:v>
                </c:pt>
                <c:pt idx="33">
                  <c:v>27.583007204000001</c:v>
                </c:pt>
                <c:pt idx="34">
                  <c:v>33.419383331999995</c:v>
                </c:pt>
                <c:pt idx="35">
                  <c:v>33.400091883999998</c:v>
                </c:pt>
                <c:pt idx="36">
                  <c:v>32.803670871999998</c:v>
                </c:pt>
                <c:pt idx="37">
                  <c:v>29.471651563999998</c:v>
                </c:pt>
                <c:pt idx="38">
                  <c:v>27.580656336000001</c:v>
                </c:pt>
                <c:pt idx="39">
                  <c:v>20.005828676</c:v>
                </c:pt>
                <c:pt idx="40">
                  <c:v>19.100546599999998</c:v>
                </c:pt>
                <c:pt idx="41">
                  <c:v>18.576064195999997</c:v>
                </c:pt>
                <c:pt idx="42">
                  <c:v>17.142860419999998</c:v>
                </c:pt>
                <c:pt idx="43">
                  <c:v>17.870271524</c:v>
                </c:pt>
                <c:pt idx="44">
                  <c:v>17.811506647999998</c:v>
                </c:pt>
                <c:pt idx="45">
                  <c:v>18.329444836</c:v>
                </c:pt>
              </c:numCache>
            </c:numRef>
          </c:val>
          <c:smooth val="0"/>
          <c:extLst>
            <c:ext xmlns:c16="http://schemas.microsoft.com/office/drawing/2014/chart" uri="{C3380CC4-5D6E-409C-BE32-E72D297353CC}">
              <c16:uniqueId val="{00000000-7AE2-4FAE-BDD7-3AC01AC2ABC5}"/>
            </c:ext>
          </c:extLst>
        </c:ser>
        <c:ser>
          <c:idx val="1"/>
          <c:order val="1"/>
          <c:tx>
            <c:strRef>
              <c:f>ASM_Annual_Elec_1970on!$F$129</c:f>
              <c:strCache>
                <c:ptCount val="1"/>
                <c:pt idx="0">
                  <c:v>339</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ASM_Annual_Elec_1970on!$G$127:$AZ$127</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ASM_Annual_Elec_1970on!$G$129:$AZ$129</c:f>
              <c:numCache>
                <c:formatCode>0.00</c:formatCode>
                <c:ptCount val="46"/>
                <c:pt idx="0">
                  <c:v>15.609787456863595</c:v>
                </c:pt>
                <c:pt idx="1">
                  <c:v>17.674656817572057</c:v>
                </c:pt>
                <c:pt idx="2">
                  <c:v>19.833754167316457</c:v>
                </c:pt>
                <c:pt idx="3">
                  <c:v>19.878476693195989</c:v>
                </c:pt>
                <c:pt idx="4">
                  <c:v>18.877802996681545</c:v>
                </c:pt>
                <c:pt idx="5">
                  <c:v>18.278815879446618</c:v>
                </c:pt>
                <c:pt idx="6">
                  <c:v>17.792073411794558</c:v>
                </c:pt>
                <c:pt idx="7">
                  <c:v>19.687953956599571</c:v>
                </c:pt>
                <c:pt idx="8">
                  <c:v>19.385936038873506</c:v>
                </c:pt>
                <c:pt idx="9">
                  <c:v>18.517125198767097</c:v>
                </c:pt>
                <c:pt idx="10">
                  <c:v>18.431041326642504</c:v>
                </c:pt>
                <c:pt idx="11">
                  <c:v>18.627860226114883</c:v>
                </c:pt>
                <c:pt idx="12">
                  <c:v>19.102441732568916</c:v>
                </c:pt>
                <c:pt idx="13">
                  <c:v>19.325603339831339</c:v>
                </c:pt>
                <c:pt idx="14">
                  <c:v>20.284003346797792</c:v>
                </c:pt>
                <c:pt idx="15">
                  <c:v>19.664239415299171</c:v>
                </c:pt>
                <c:pt idx="16">
                  <c:v>20.339372988667815</c:v>
                </c:pt>
                <c:pt idx="17">
                  <c:v>25.284567016894268</c:v>
                </c:pt>
                <c:pt idx="18">
                  <c:v>26.64857301611816</c:v>
                </c:pt>
                <c:pt idx="19">
                  <c:v>27.664804893891468</c:v>
                </c:pt>
                <c:pt idx="20">
                  <c:v>29.85303894726405</c:v>
                </c:pt>
                <c:pt idx="21">
                  <c:v>28.863897556069173</c:v>
                </c:pt>
                <c:pt idx="22">
                  <c:v>27.325157918414416</c:v>
                </c:pt>
                <c:pt idx="23">
                  <c:v>30.172706688889512</c:v>
                </c:pt>
                <c:pt idx="24">
                  <c:v>30.71790273128039</c:v>
                </c:pt>
                <c:pt idx="25">
                  <c:v>32.973185738934589</c:v>
                </c:pt>
                <c:pt idx="26">
                  <c:v>33.488920877171424</c:v>
                </c:pt>
                <c:pt idx="27">
                  <c:v>34.532872472000001</c:v>
                </c:pt>
                <c:pt idx="28">
                  <c:v>35.481852031999999</c:v>
                </c:pt>
                <c:pt idx="29">
                  <c:v>35.006884571999997</c:v>
                </c:pt>
                <c:pt idx="30">
                  <c:v>36.657630644000001</c:v>
                </c:pt>
                <c:pt idx="31">
                  <c:v>37.375102591999998</c:v>
                </c:pt>
                <c:pt idx="32">
                  <c:v>35.271246332000004</c:v>
                </c:pt>
                <c:pt idx="33">
                  <c:v>36.568011052000003</c:v>
                </c:pt>
                <c:pt idx="34">
                  <c:v>43.772309159999999</c:v>
                </c:pt>
                <c:pt idx="35">
                  <c:v>44.576063763999997</c:v>
                </c:pt>
                <c:pt idx="36">
                  <c:v>43.850928463999999</c:v>
                </c:pt>
                <c:pt idx="37">
                  <c:v>40.031696027999999</c:v>
                </c:pt>
                <c:pt idx="38">
                  <c:v>39.769118744000004</c:v>
                </c:pt>
                <c:pt idx="39">
                  <c:v>34.883922916000003</c:v>
                </c:pt>
                <c:pt idx="40">
                  <c:v>35.953311956</c:v>
                </c:pt>
                <c:pt idx="41">
                  <c:v>36.712505839999999</c:v>
                </c:pt>
                <c:pt idx="42">
                  <c:v>31.878974516</c:v>
                </c:pt>
                <c:pt idx="43">
                  <c:v>33.50428754</c:v>
                </c:pt>
                <c:pt idx="44">
                  <c:v>32.096567991999997</c:v>
                </c:pt>
                <c:pt idx="45">
                  <c:v>33.531549419999997</c:v>
                </c:pt>
              </c:numCache>
            </c:numRef>
          </c:val>
          <c:smooth val="0"/>
          <c:extLst>
            <c:ext xmlns:c16="http://schemas.microsoft.com/office/drawing/2014/chart" uri="{C3380CC4-5D6E-409C-BE32-E72D297353CC}">
              <c16:uniqueId val="{00000001-7AE2-4FAE-BDD7-3AC01AC2ABC5}"/>
            </c:ext>
          </c:extLst>
        </c:ser>
        <c:dLbls>
          <c:showLegendKey val="0"/>
          <c:showVal val="0"/>
          <c:showCatName val="0"/>
          <c:showSerName val="0"/>
          <c:showPercent val="0"/>
          <c:showBubbleSize val="0"/>
        </c:dLbls>
        <c:marker val="1"/>
        <c:smooth val="0"/>
        <c:axId val="124156928"/>
        <c:axId val="124847232"/>
      </c:lineChart>
      <c:catAx>
        <c:axId val="1241569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24847232"/>
        <c:crosses val="autoZero"/>
        <c:auto val="1"/>
        <c:lblAlgn val="ctr"/>
        <c:lblOffset val="100"/>
        <c:tickLblSkip val="3"/>
        <c:tickMarkSkip val="1"/>
        <c:noMultiLvlLbl val="0"/>
      </c:catAx>
      <c:valAx>
        <c:axId val="124847232"/>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4156928"/>
        <c:crosses val="autoZero"/>
        <c:crossBetween val="between"/>
      </c:valAx>
      <c:spPr>
        <a:solidFill>
          <a:srgbClr val="C0C0C0"/>
        </a:solidFill>
        <a:ln w="12700">
          <a:solidFill>
            <a:srgbClr val="808080"/>
          </a:solidFill>
          <a:prstDash val="solid"/>
        </a:ln>
      </c:spPr>
    </c:plotArea>
    <c:legend>
      <c:legendPos val="r"/>
      <c:layout>
        <c:manualLayout>
          <c:xMode val="edge"/>
          <c:yMode val="edge"/>
          <c:x val="0.86008403270578826"/>
          <c:y val="0.35471777348586142"/>
          <c:w val="0.10012362204724409"/>
          <c:h val="0.1622645471202891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018554639294487"/>
          <c:y val="5.4469609838096081E-2"/>
          <c:w val="0.65519203849518814"/>
          <c:h val="0.79523549139690874"/>
        </c:manualLayout>
      </c:layout>
      <c:lineChart>
        <c:grouping val="standard"/>
        <c:varyColors val="0"/>
        <c:ser>
          <c:idx val="0"/>
          <c:order val="0"/>
          <c:tx>
            <c:strRef>
              <c:f>ASM_Annual_Elec_1970on!$F$30</c:f>
              <c:strCache>
                <c:ptCount val="1"/>
                <c:pt idx="0">
                  <c:v>311-312</c:v>
                </c:pt>
              </c:strCache>
            </c:strRef>
          </c:tx>
          <c:cat>
            <c:numRef>
              <c:f>ASM_Annual_Elec_1970on!$G$29:$AZ$29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ASM_Annual_Elec_1970on!$G$30:$AZ$30</c:f>
              <c:numCache>
                <c:formatCode>0.00</c:formatCode>
                <c:ptCount val="46"/>
                <c:pt idx="0">
                  <c:v>118.09880047352895</c:v>
                </c:pt>
                <c:pt idx="1">
                  <c:v>118.4640689392175</c:v>
                </c:pt>
                <c:pt idx="2">
                  <c:v>120.68370032797704</c:v>
                </c:pt>
                <c:pt idx="3">
                  <c:v>125.58930585895047</c:v>
                </c:pt>
                <c:pt idx="4">
                  <c:v>129.42112217435181</c:v>
                </c:pt>
                <c:pt idx="5">
                  <c:v>134.429803464136</c:v>
                </c:pt>
                <c:pt idx="6">
                  <c:v>137.21685189411582</c:v>
                </c:pt>
                <c:pt idx="7">
                  <c:v>141.0066373175749</c:v>
                </c:pt>
                <c:pt idx="8">
                  <c:v>142.68587152421983</c:v>
                </c:pt>
                <c:pt idx="9">
                  <c:v>139.50553403392331</c:v>
                </c:pt>
                <c:pt idx="10">
                  <c:v>145.15568679358793</c:v>
                </c:pt>
                <c:pt idx="11">
                  <c:v>146.31153632199968</c:v>
                </c:pt>
                <c:pt idx="12">
                  <c:v>161.86997148928734</c:v>
                </c:pt>
                <c:pt idx="13">
                  <c:v>155.10299788658594</c:v>
                </c:pt>
                <c:pt idx="14">
                  <c:v>159.71338643844123</c:v>
                </c:pt>
                <c:pt idx="15">
                  <c:v>159.73144210903121</c:v>
                </c:pt>
                <c:pt idx="16">
                  <c:v>162.46612284971044</c:v>
                </c:pt>
                <c:pt idx="17">
                  <c:v>175.9428508</c:v>
                </c:pt>
                <c:pt idx="18">
                  <c:v>180.49855319999998</c:v>
                </c:pt>
                <c:pt idx="19">
                  <c:v>181.92203960000001</c:v>
                </c:pt>
                <c:pt idx="20">
                  <c:v>183.31550040000002</c:v>
                </c:pt>
                <c:pt idx="21">
                  <c:v>188.50788200000002</c:v>
                </c:pt>
                <c:pt idx="22">
                  <c:v>195.81126800000001</c:v>
                </c:pt>
                <c:pt idx="23">
                  <c:v>202.10436079999999</c:v>
                </c:pt>
                <c:pt idx="24">
                  <c:v>206.38096160000001</c:v>
                </c:pt>
                <c:pt idx="25">
                  <c:v>215.29992960000001</c:v>
                </c:pt>
                <c:pt idx="26">
                  <c:v>223.774314</c:v>
                </c:pt>
                <c:pt idx="27">
                  <c:v>232.942692376</c:v>
                </c:pt>
                <c:pt idx="28">
                  <c:v>237.41109875599997</c:v>
                </c:pt>
                <c:pt idx="29">
                  <c:v>233.76357863199999</c:v>
                </c:pt>
                <c:pt idx="30">
                  <c:v>248.33018456799999</c:v>
                </c:pt>
                <c:pt idx="31">
                  <c:v>266.44860061600002</c:v>
                </c:pt>
                <c:pt idx="32">
                  <c:v>257.77662047199999</c:v>
                </c:pt>
                <c:pt idx="33">
                  <c:v>255.32842858399999</c:v>
                </c:pt>
                <c:pt idx="34">
                  <c:v>287.10198594799999</c:v>
                </c:pt>
                <c:pt idx="35">
                  <c:v>300.75193419999994</c:v>
                </c:pt>
                <c:pt idx="36">
                  <c:v>301.63248268799998</c:v>
                </c:pt>
                <c:pt idx="37">
                  <c:v>307.48225773999997</c:v>
                </c:pt>
                <c:pt idx="38">
                  <c:v>334.69119032399999</c:v>
                </c:pt>
                <c:pt idx="39">
                  <c:v>313.91500369999994</c:v>
                </c:pt>
                <c:pt idx="40">
                  <c:v>321.26902378</c:v>
                </c:pt>
                <c:pt idx="41">
                  <c:v>340.83685742799997</c:v>
                </c:pt>
                <c:pt idx="42">
                  <c:v>299.93102747199998</c:v>
                </c:pt>
                <c:pt idx="43">
                  <c:v>290.75231755999999</c:v>
                </c:pt>
                <c:pt idx="44">
                  <c:v>293.20092571200001</c:v>
                </c:pt>
                <c:pt idx="45">
                  <c:v>280.58946742799998</c:v>
                </c:pt>
              </c:numCache>
            </c:numRef>
          </c:val>
          <c:smooth val="0"/>
          <c:extLst>
            <c:ext xmlns:c16="http://schemas.microsoft.com/office/drawing/2014/chart" uri="{C3380CC4-5D6E-409C-BE32-E72D297353CC}">
              <c16:uniqueId val="{00000000-359B-49D8-B145-2DA076CD95BE}"/>
            </c:ext>
          </c:extLst>
        </c:ser>
        <c:ser>
          <c:idx val="1"/>
          <c:order val="1"/>
          <c:tx>
            <c:strRef>
              <c:f>ASM_Annual_Elec_1970on!$F$31</c:f>
              <c:strCache>
                <c:ptCount val="1"/>
                <c:pt idx="0">
                  <c:v>313-314</c:v>
                </c:pt>
              </c:strCache>
            </c:strRef>
          </c:tx>
          <c:cat>
            <c:numRef>
              <c:f>ASM_Annual_Elec_1970on!$G$29:$AZ$29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ASM_Annual_Elec_1970on!$G$31:$AZ$31</c:f>
              <c:numCache>
                <c:formatCode>0.00</c:formatCode>
                <c:ptCount val="46"/>
                <c:pt idx="0">
                  <c:v>79.697962537808721</c:v>
                </c:pt>
                <c:pt idx="1">
                  <c:v>83.556616099575507</c:v>
                </c:pt>
                <c:pt idx="2">
                  <c:v>91.301316357329696</c:v>
                </c:pt>
                <c:pt idx="3">
                  <c:v>95.374392038685471</c:v>
                </c:pt>
                <c:pt idx="4">
                  <c:v>88.419369719153337</c:v>
                </c:pt>
                <c:pt idx="5">
                  <c:v>87.80444108544215</c:v>
                </c:pt>
                <c:pt idx="6">
                  <c:v>92.347923002724443</c:v>
                </c:pt>
                <c:pt idx="7">
                  <c:v>91.204968092139922</c:v>
                </c:pt>
                <c:pt idx="8">
                  <c:v>90.851691119777428</c:v>
                </c:pt>
                <c:pt idx="9">
                  <c:v>89.403633369425307</c:v>
                </c:pt>
                <c:pt idx="10">
                  <c:v>86.588752680547699</c:v>
                </c:pt>
                <c:pt idx="11">
                  <c:v>86.162742213875276</c:v>
                </c:pt>
                <c:pt idx="12">
                  <c:v>81.205529510778092</c:v>
                </c:pt>
                <c:pt idx="13">
                  <c:v>88.205892190399538</c:v>
                </c:pt>
                <c:pt idx="14">
                  <c:v>90.093184679116774</c:v>
                </c:pt>
                <c:pt idx="15">
                  <c:v>86.649169843875683</c:v>
                </c:pt>
                <c:pt idx="16">
                  <c:v>89.574636048847466</c:v>
                </c:pt>
                <c:pt idx="17">
                  <c:v>100.9068292</c:v>
                </c:pt>
                <c:pt idx="18">
                  <c:v>101.7052372</c:v>
                </c:pt>
                <c:pt idx="19">
                  <c:v>103.4306856</c:v>
                </c:pt>
                <c:pt idx="20">
                  <c:v>99.811577199999988</c:v>
                </c:pt>
                <c:pt idx="21">
                  <c:v>101.02556680000001</c:v>
                </c:pt>
                <c:pt idx="22">
                  <c:v>106.6154464</c:v>
                </c:pt>
                <c:pt idx="23">
                  <c:v>111.71092719999999</c:v>
                </c:pt>
                <c:pt idx="24">
                  <c:v>117.0374004</c:v>
                </c:pt>
                <c:pt idx="25">
                  <c:v>118.22307040000001</c:v>
                </c:pt>
                <c:pt idx="26">
                  <c:v>115.34846039999999</c:v>
                </c:pt>
                <c:pt idx="27">
                  <c:v>113.555870664</c:v>
                </c:pt>
                <c:pt idx="28">
                  <c:v>115.50939079199999</c:v>
                </c:pt>
                <c:pt idx="29">
                  <c:v>114.812943588</c:v>
                </c:pt>
                <c:pt idx="30">
                  <c:v>107.995607224</c:v>
                </c:pt>
                <c:pt idx="31">
                  <c:v>102.389694636</c:v>
                </c:pt>
                <c:pt idx="32">
                  <c:v>97.014695971999998</c:v>
                </c:pt>
                <c:pt idx="33">
                  <c:v>95.164583328000006</c:v>
                </c:pt>
                <c:pt idx="34">
                  <c:v>94.700360255999996</c:v>
                </c:pt>
                <c:pt idx="35">
                  <c:v>92.424099048000002</c:v>
                </c:pt>
                <c:pt idx="36">
                  <c:v>79.236968124000001</c:v>
                </c:pt>
                <c:pt idx="37">
                  <c:v>68.415711176000002</c:v>
                </c:pt>
                <c:pt idx="38">
                  <c:v>63.298574411999994</c:v>
                </c:pt>
                <c:pt idx="39">
                  <c:v>50.465271299999998</c:v>
                </c:pt>
                <c:pt idx="40">
                  <c:v>52.214992668000008</c:v>
                </c:pt>
                <c:pt idx="41">
                  <c:v>54.125074623999993</c:v>
                </c:pt>
                <c:pt idx="42">
                  <c:v>49.364757995999994</c:v>
                </c:pt>
                <c:pt idx="43">
                  <c:v>50.116087219999997</c:v>
                </c:pt>
                <c:pt idx="44">
                  <c:v>50.308401187999998</c:v>
                </c:pt>
                <c:pt idx="45">
                  <c:v>47.022597420000004</c:v>
                </c:pt>
              </c:numCache>
            </c:numRef>
          </c:val>
          <c:smooth val="0"/>
          <c:extLst>
            <c:ext xmlns:c16="http://schemas.microsoft.com/office/drawing/2014/chart" uri="{C3380CC4-5D6E-409C-BE32-E72D297353CC}">
              <c16:uniqueId val="{00000001-359B-49D8-B145-2DA076CD95BE}"/>
            </c:ext>
          </c:extLst>
        </c:ser>
        <c:ser>
          <c:idx val="2"/>
          <c:order val="2"/>
          <c:tx>
            <c:strRef>
              <c:f>ASM_Annual_Elec_1970on!$F$32</c:f>
              <c:strCache>
                <c:ptCount val="1"/>
                <c:pt idx="0">
                  <c:v>315-316</c:v>
                </c:pt>
              </c:strCache>
            </c:strRef>
          </c:tx>
          <c:cat>
            <c:numRef>
              <c:f>ASM_Annual_Elec_1970on!$G$29:$AZ$29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ASM_Annual_Elec_1970on!$G$32:$AZ$32</c:f>
              <c:numCache>
                <c:formatCode>0.00</c:formatCode>
                <c:ptCount val="46"/>
                <c:pt idx="0">
                  <c:v>27.902014926127464</c:v>
                </c:pt>
                <c:pt idx="1">
                  <c:v>27.449988375814961</c:v>
                </c:pt>
                <c:pt idx="2">
                  <c:v>32.010176451759641</c:v>
                </c:pt>
                <c:pt idx="3">
                  <c:v>33.033997270843514</c:v>
                </c:pt>
                <c:pt idx="4">
                  <c:v>32.252287538536706</c:v>
                </c:pt>
                <c:pt idx="5">
                  <c:v>33.766769655823047</c:v>
                </c:pt>
                <c:pt idx="6">
                  <c:v>33.567156791724926</c:v>
                </c:pt>
                <c:pt idx="7">
                  <c:v>32.290922286426664</c:v>
                </c:pt>
                <c:pt idx="8">
                  <c:v>30.093892956417729</c:v>
                </c:pt>
                <c:pt idx="9">
                  <c:v>26.339883286443506</c:v>
                </c:pt>
                <c:pt idx="10">
                  <c:v>27.573619569062824</c:v>
                </c:pt>
                <c:pt idx="11">
                  <c:v>27.34181108172308</c:v>
                </c:pt>
                <c:pt idx="12">
                  <c:v>27.330220657356094</c:v>
                </c:pt>
                <c:pt idx="13">
                  <c:v>27.291585909466132</c:v>
                </c:pt>
                <c:pt idx="14">
                  <c:v>30.22396327431392</c:v>
                </c:pt>
                <c:pt idx="15">
                  <c:v>25.536950714425782</c:v>
                </c:pt>
                <c:pt idx="16">
                  <c:v>25.758850676756683</c:v>
                </c:pt>
                <c:pt idx="17">
                  <c:v>26.0826928</c:v>
                </c:pt>
                <c:pt idx="18">
                  <c:v>26.5088516</c:v>
                </c:pt>
                <c:pt idx="19">
                  <c:v>23.390624799999998</c:v>
                </c:pt>
                <c:pt idx="20">
                  <c:v>23.108793599999998</c:v>
                </c:pt>
                <c:pt idx="21">
                  <c:v>22.4250288</c:v>
                </c:pt>
                <c:pt idx="22">
                  <c:v>31.5483756</c:v>
                </c:pt>
                <c:pt idx="23">
                  <c:v>35.309764399999999</c:v>
                </c:pt>
                <c:pt idx="24">
                  <c:v>33.010758799999998</c:v>
                </c:pt>
                <c:pt idx="25">
                  <c:v>34.404902</c:v>
                </c:pt>
                <c:pt idx="26">
                  <c:v>32.783178399999997</c:v>
                </c:pt>
                <c:pt idx="27">
                  <c:v>27.277875456</c:v>
                </c:pt>
                <c:pt idx="28">
                  <c:v>25.900034791999996</c:v>
                </c:pt>
                <c:pt idx="29">
                  <c:v>24.839243991999997</c:v>
                </c:pt>
                <c:pt idx="30">
                  <c:v>26.023051040000002</c:v>
                </c:pt>
                <c:pt idx="31">
                  <c:v>24.252731428000001</c:v>
                </c:pt>
                <c:pt idx="32">
                  <c:v>13.151792839999999</c:v>
                </c:pt>
                <c:pt idx="33">
                  <c:v>12.522558623999998</c:v>
                </c:pt>
                <c:pt idx="34">
                  <c:v>15.189756556000001</c:v>
                </c:pt>
                <c:pt idx="35">
                  <c:v>14.870621959999999</c:v>
                </c:pt>
                <c:pt idx="36">
                  <c:v>13.064957439999999</c:v>
                </c:pt>
                <c:pt idx="37">
                  <c:v>8.8014314240000004</c:v>
                </c:pt>
                <c:pt idx="38">
                  <c:v>6.6801330200000004</c:v>
                </c:pt>
                <c:pt idx="39">
                  <c:v>4.7902023360000001</c:v>
                </c:pt>
                <c:pt idx="40">
                  <c:v>4.7583308439999996</c:v>
                </c:pt>
                <c:pt idx="41">
                  <c:v>4.6839253599999999</c:v>
                </c:pt>
                <c:pt idx="42">
                  <c:v>3.672690448</c:v>
                </c:pt>
                <c:pt idx="43">
                  <c:v>3.8386603639999999</c:v>
                </c:pt>
                <c:pt idx="44">
                  <c:v>3.9326268440000001</c:v>
                </c:pt>
                <c:pt idx="45">
                  <c:v>3.7451988599999999</c:v>
                </c:pt>
              </c:numCache>
            </c:numRef>
          </c:val>
          <c:smooth val="0"/>
          <c:extLst>
            <c:ext xmlns:c16="http://schemas.microsoft.com/office/drawing/2014/chart" uri="{C3380CC4-5D6E-409C-BE32-E72D297353CC}">
              <c16:uniqueId val="{00000002-359B-49D8-B145-2DA076CD95BE}"/>
            </c:ext>
          </c:extLst>
        </c:ser>
        <c:ser>
          <c:idx val="3"/>
          <c:order val="3"/>
          <c:tx>
            <c:strRef>
              <c:f>ASM_Annual_Elec_1970on!$F$33</c:f>
              <c:strCache>
                <c:ptCount val="1"/>
                <c:pt idx="0">
                  <c:v>321</c:v>
                </c:pt>
              </c:strCache>
            </c:strRef>
          </c:tx>
          <c:cat>
            <c:numRef>
              <c:f>ASM_Annual_Elec_1970on!$G$29:$AZ$29</c:f>
              <c:numCache>
                <c:formatCode>General</c:formatCode>
                <c:ptCount val="46"/>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numCache>
            </c:numRef>
          </c:cat>
          <c:val>
            <c:numRef>
              <c:f>ASM_Annual_Elec_1970on!$G$33:$AZ$33</c:f>
              <c:numCache>
                <c:formatCode>0.00</c:formatCode>
                <c:ptCount val="46"/>
                <c:pt idx="0">
                  <c:v>32.243314931920139</c:v>
                </c:pt>
                <c:pt idx="1">
                  <c:v>35.744440833237107</c:v>
                </c:pt>
                <c:pt idx="2">
                  <c:v>41.798161037477847</c:v>
                </c:pt>
                <c:pt idx="3">
                  <c:v>42.081633873669915</c:v>
                </c:pt>
                <c:pt idx="4">
                  <c:v>46.034180642910087</c:v>
                </c:pt>
                <c:pt idx="5">
                  <c:v>44.993338061353946</c:v>
                </c:pt>
                <c:pt idx="6">
                  <c:v>48.30347789533819</c:v>
                </c:pt>
                <c:pt idx="7">
                  <c:v>50.027246183554809</c:v>
                </c:pt>
                <c:pt idx="8">
                  <c:v>51.68353245810458</c:v>
                </c:pt>
                <c:pt idx="9">
                  <c:v>49.79499638262832</c:v>
                </c:pt>
                <c:pt idx="10">
                  <c:v>45.376420085598738</c:v>
                </c:pt>
                <c:pt idx="11">
                  <c:v>45.110667718491783</c:v>
                </c:pt>
                <c:pt idx="12">
                  <c:v>45.377001021697438</c:v>
                </c:pt>
                <c:pt idx="13">
                  <c:v>47.857613441141645</c:v>
                </c:pt>
                <c:pt idx="14">
                  <c:v>51.647936420314139</c:v>
                </c:pt>
                <c:pt idx="15">
                  <c:v>51.83160985756038</c:v>
                </c:pt>
                <c:pt idx="16">
                  <c:v>54.94088345001164</c:v>
                </c:pt>
                <c:pt idx="17">
                  <c:v>63.95688686954545</c:v>
                </c:pt>
                <c:pt idx="18">
                  <c:v>66.472722126573842</c:v>
                </c:pt>
                <c:pt idx="19">
                  <c:v>65.138042120981652</c:v>
                </c:pt>
                <c:pt idx="20">
                  <c:v>65.158067088915033</c:v>
                </c:pt>
                <c:pt idx="21">
                  <c:v>63.49885546014837</c:v>
                </c:pt>
                <c:pt idx="22">
                  <c:v>60.602545812385564</c:v>
                </c:pt>
                <c:pt idx="23">
                  <c:v>66.275015300310841</c:v>
                </c:pt>
                <c:pt idx="24">
                  <c:v>68.881439697990274</c:v>
                </c:pt>
                <c:pt idx="25">
                  <c:v>70.680508245656824</c:v>
                </c:pt>
                <c:pt idx="26">
                  <c:v>71.392824962144573</c:v>
                </c:pt>
                <c:pt idx="27">
                  <c:v>74.590970555999988</c:v>
                </c:pt>
                <c:pt idx="28">
                  <c:v>76.021762047999999</c:v>
                </c:pt>
                <c:pt idx="29">
                  <c:v>79.383206443999995</c:v>
                </c:pt>
                <c:pt idx="30">
                  <c:v>79.318323851999992</c:v>
                </c:pt>
                <c:pt idx="31">
                  <c:v>74.650090280000001</c:v>
                </c:pt>
                <c:pt idx="32">
                  <c:v>74.759141212000003</c:v>
                </c:pt>
                <c:pt idx="33">
                  <c:v>78.270293932000001</c:v>
                </c:pt>
                <c:pt idx="34">
                  <c:v>90.253432415999995</c:v>
                </c:pt>
                <c:pt idx="35">
                  <c:v>95.464392355999991</c:v>
                </c:pt>
                <c:pt idx="36">
                  <c:v>96.462862975999997</c:v>
                </c:pt>
                <c:pt idx="37">
                  <c:v>85.215181091999995</c:v>
                </c:pt>
                <c:pt idx="38">
                  <c:v>78.449870903999994</c:v>
                </c:pt>
                <c:pt idx="39">
                  <c:v>63.432399876000005</c:v>
                </c:pt>
                <c:pt idx="40">
                  <c:v>67.583578967999998</c:v>
                </c:pt>
                <c:pt idx="41">
                  <c:v>68.977261547999987</c:v>
                </c:pt>
                <c:pt idx="42">
                  <c:v>66.419227144000004</c:v>
                </c:pt>
                <c:pt idx="43">
                  <c:v>71.100699275999986</c:v>
                </c:pt>
                <c:pt idx="44">
                  <c:v>72.53285898</c:v>
                </c:pt>
                <c:pt idx="45">
                  <c:v>75.369298936000007</c:v>
                </c:pt>
              </c:numCache>
            </c:numRef>
          </c:val>
          <c:smooth val="0"/>
          <c:extLst>
            <c:ext xmlns:c16="http://schemas.microsoft.com/office/drawing/2014/chart" uri="{C3380CC4-5D6E-409C-BE32-E72D297353CC}">
              <c16:uniqueId val="{00000003-359B-49D8-B145-2DA076CD95BE}"/>
            </c:ext>
          </c:extLst>
        </c:ser>
        <c:dLbls>
          <c:showLegendKey val="0"/>
          <c:showVal val="0"/>
          <c:showCatName val="0"/>
          <c:showSerName val="0"/>
          <c:showPercent val="0"/>
          <c:showBubbleSize val="0"/>
        </c:dLbls>
        <c:marker val="1"/>
        <c:smooth val="0"/>
        <c:axId val="122811904"/>
        <c:axId val="124849536"/>
      </c:lineChart>
      <c:catAx>
        <c:axId val="122811904"/>
        <c:scaling>
          <c:orientation val="minMax"/>
        </c:scaling>
        <c:delete val="0"/>
        <c:axPos val="b"/>
        <c:numFmt formatCode="General" sourceLinked="1"/>
        <c:majorTickMark val="out"/>
        <c:minorTickMark val="none"/>
        <c:tickLblPos val="nextTo"/>
        <c:crossAx val="124849536"/>
        <c:crosses val="autoZero"/>
        <c:auto val="1"/>
        <c:lblAlgn val="ctr"/>
        <c:lblOffset val="100"/>
        <c:noMultiLvlLbl val="0"/>
      </c:catAx>
      <c:valAx>
        <c:axId val="124849536"/>
        <c:scaling>
          <c:orientation val="minMax"/>
        </c:scaling>
        <c:delete val="0"/>
        <c:axPos val="l"/>
        <c:majorGridlines/>
        <c:numFmt formatCode="0.00" sourceLinked="1"/>
        <c:majorTickMark val="out"/>
        <c:minorTickMark val="none"/>
        <c:tickLblPos val="nextTo"/>
        <c:crossAx val="1228119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96904386795209E-2"/>
          <c:y val="6.7885117493472591E-2"/>
          <c:w val="0.74271962024616367"/>
          <c:h val="0.77545691906005221"/>
        </c:manualLayout>
      </c:layout>
      <c:lineChart>
        <c:grouping val="standard"/>
        <c:varyColors val="0"/>
        <c:ser>
          <c:idx val="0"/>
          <c:order val="0"/>
          <c:tx>
            <c:strRef>
              <c:f>MECS_Annual_Fuel1!$F$51</c:f>
              <c:strCache>
                <c:ptCount val="1"/>
                <c:pt idx="0">
                  <c:v>311-312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MECS_Annual_Fuel1!$G$51:$AM$51</c:f>
              <c:numCache>
                <c:formatCode>General</c:formatCode>
                <c:ptCount val="33"/>
                <c:pt idx="0">
                  <c:v>814.40918409036976</c:v>
                </c:pt>
                <c:pt idx="1">
                  <c:v>851.19749953824692</c:v>
                </c:pt>
                <c:pt idx="2">
                  <c:v>833.51038838632076</c:v>
                </c:pt>
                <c:pt idx="3">
                  <c:v>851.12053122624513</c:v>
                </c:pt>
                <c:pt idx="4">
                  <c:v>851.8988327684732</c:v>
                </c:pt>
                <c:pt idx="5">
                  <c:v>801.85853040559095</c:v>
                </c:pt>
                <c:pt idx="6">
                  <c:v>809.67414956814787</c:v>
                </c:pt>
                <c:pt idx="7">
                  <c:v>863.70158393200757</c:v>
                </c:pt>
                <c:pt idx="8">
                  <c:v>926.75369383250984</c:v>
                </c:pt>
                <c:pt idx="9">
                  <c:v>1008.5825527109854</c:v>
                </c:pt>
                <c:pt idx="10">
                  <c:v>996.91523388203518</c:v>
                </c:pt>
                <c:pt idx="11">
                  <c:v>865.22738818560777</c:v>
                </c:pt>
                <c:pt idx="12">
                  <c:v>867.68525811561415</c:v>
                </c:pt>
                <c:pt idx="13">
                  <c:v>914.596452</c:v>
                </c:pt>
                <c:pt idx="14">
                  <c:v>935.17439841307237</c:v>
                </c:pt>
                <c:pt idx="15">
                  <c:v>890.52621269592521</c:v>
                </c:pt>
                <c:pt idx="16">
                  <c:v>1033.4651559756132</c:v>
                </c:pt>
                <c:pt idx="17">
                  <c:v>963.55408</c:v>
                </c:pt>
                <c:pt idx="18">
                  <c:v>908.1512310074819</c:v>
                </c:pt>
                <c:pt idx="19">
                  <c:v>876.87404509058865</c:v>
                </c:pt>
                <c:pt idx="20">
                  <c:v>881.92508034163961</c:v>
                </c:pt>
                <c:pt idx="21" formatCode="0">
                  <c:v>1014.1992240000001</c:v>
                </c:pt>
                <c:pt idx="22">
                  <c:v>1017.3089008569175</c:v>
                </c:pt>
                <c:pt idx="23">
                  <c:v>913.55290679421876</c:v>
                </c:pt>
                <c:pt idx="24">
                  <c:v>1082.0437976266057</c:v>
                </c:pt>
                <c:pt idx="25">
                  <c:v>958</c:v>
                </c:pt>
                <c:pt idx="26">
                  <c:v>962.5869918448409</c:v>
                </c:pt>
                <c:pt idx="27">
                  <c:v>905.23015078882304</c:v>
                </c:pt>
                <c:pt idx="28">
                  <c:v>938.49143969789179</c:v>
                </c:pt>
                <c:pt idx="29">
                  <c:v>929</c:v>
                </c:pt>
                <c:pt idx="30" formatCode="0.00">
                  <c:v>1030.630146776351</c:v>
                </c:pt>
                <c:pt idx="31" formatCode="0.00">
                  <c:v>1061.6998274548725</c:v>
                </c:pt>
                <c:pt idx="32" formatCode="0.00">
                  <c:v>971.69780095161491</c:v>
                </c:pt>
              </c:numCache>
            </c:numRef>
          </c:val>
          <c:smooth val="0"/>
          <c:extLst>
            <c:ext xmlns:c16="http://schemas.microsoft.com/office/drawing/2014/chart" uri="{C3380CC4-5D6E-409C-BE32-E72D297353CC}">
              <c16:uniqueId val="{00000000-CBC4-4A30-9AAF-89E8B036C724}"/>
            </c:ext>
          </c:extLst>
        </c:ser>
        <c:ser>
          <c:idx val="1"/>
          <c:order val="1"/>
          <c:tx>
            <c:strRef>
              <c:f>MECS_Annual_Fuel1!$F$52</c:f>
              <c:strCache>
                <c:ptCount val="1"/>
                <c:pt idx="0">
                  <c:v>313-314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MECS_Annual_Fuel1!$G$52:$AM$52</c:f>
              <c:numCache>
                <c:formatCode>General</c:formatCode>
                <c:ptCount val="33"/>
                <c:pt idx="0">
                  <c:v>156.1414043262503</c:v>
                </c:pt>
                <c:pt idx="1">
                  <c:v>167.34431376858677</c:v>
                </c:pt>
                <c:pt idx="2">
                  <c:v>172.60133796131427</c:v>
                </c:pt>
                <c:pt idx="3">
                  <c:v>168.48905994885055</c:v>
                </c:pt>
                <c:pt idx="4">
                  <c:v>167.44427557233792</c:v>
                </c:pt>
                <c:pt idx="5">
                  <c:v>155.89053627343949</c:v>
                </c:pt>
                <c:pt idx="6">
                  <c:v>167.22964134569051</c:v>
                </c:pt>
                <c:pt idx="7">
                  <c:v>171.780636136151</c:v>
                </c:pt>
                <c:pt idx="8">
                  <c:v>179.66474753861871</c:v>
                </c:pt>
                <c:pt idx="9">
                  <c:v>192.94392268146368</c:v>
                </c:pt>
                <c:pt idx="10">
                  <c:v>190.8904946076554</c:v>
                </c:pt>
                <c:pt idx="11">
                  <c:v>167.09700979934172</c:v>
                </c:pt>
                <c:pt idx="12">
                  <c:v>170.57022786370626</c:v>
                </c:pt>
                <c:pt idx="13">
                  <c:v>183.883668</c:v>
                </c:pt>
                <c:pt idx="14">
                  <c:v>187.31181548387343</c:v>
                </c:pt>
                <c:pt idx="15">
                  <c:v>156.99410743381722</c:v>
                </c:pt>
                <c:pt idx="16">
                  <c:v>156.54886822367064</c:v>
                </c:pt>
                <c:pt idx="17">
                  <c:v>161.77534800000001</c:v>
                </c:pt>
                <c:pt idx="18">
                  <c:v>144.82060676734446</c:v>
                </c:pt>
                <c:pt idx="19">
                  <c:v>150.15509141889578</c:v>
                </c:pt>
                <c:pt idx="20">
                  <c:v>157.5923565830285</c:v>
                </c:pt>
                <c:pt idx="21" formatCode="0">
                  <c:v>164.407712</c:v>
                </c:pt>
                <c:pt idx="22">
                  <c:v>117.72476201119797</c:v>
                </c:pt>
                <c:pt idx="23">
                  <c:v>100.10391940983209</c:v>
                </c:pt>
                <c:pt idx="24">
                  <c:v>92.386077520771678</c:v>
                </c:pt>
                <c:pt idx="25">
                  <c:v>62</c:v>
                </c:pt>
                <c:pt idx="26">
                  <c:v>63.735355866562557</c:v>
                </c:pt>
                <c:pt idx="27">
                  <c:v>65.232230776731996</c:v>
                </c:pt>
                <c:pt idx="28">
                  <c:v>70.717952789685583</c:v>
                </c:pt>
                <c:pt idx="29">
                  <c:v>72</c:v>
                </c:pt>
                <c:pt idx="30" formatCode="0.00">
                  <c:v>74.509049446669465</c:v>
                </c:pt>
                <c:pt idx="31" formatCode="0.00">
                  <c:v>78.338211968875697</c:v>
                </c:pt>
                <c:pt idx="32" formatCode="0.00">
                  <c:v>58.42197502449914</c:v>
                </c:pt>
              </c:numCache>
            </c:numRef>
          </c:val>
          <c:smooth val="0"/>
          <c:extLst>
            <c:ext xmlns:c16="http://schemas.microsoft.com/office/drawing/2014/chart" uri="{C3380CC4-5D6E-409C-BE32-E72D297353CC}">
              <c16:uniqueId val="{00000001-CBC4-4A30-9AAF-89E8B036C724}"/>
            </c:ext>
          </c:extLst>
        </c:ser>
        <c:ser>
          <c:idx val="2"/>
          <c:order val="2"/>
          <c:tx>
            <c:strRef>
              <c:f>MECS_Annual_Fuel1!$F$53</c:f>
              <c:strCache>
                <c:ptCount val="1"/>
                <c:pt idx="0">
                  <c:v>315-316</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MECS_Annual_Fuel1!$G$53:$AM$53</c:f>
              <c:numCache>
                <c:formatCode>General</c:formatCode>
                <c:ptCount val="33"/>
                <c:pt idx="0">
                  <c:v>27.870927218965459</c:v>
                </c:pt>
                <c:pt idx="1">
                  <c:v>38.210686463826796</c:v>
                </c:pt>
                <c:pt idx="2">
                  <c:v>41.21594313846515</c:v>
                </c:pt>
                <c:pt idx="3">
                  <c:v>46.203934666809843</c:v>
                </c:pt>
                <c:pt idx="4">
                  <c:v>38.72494633334945</c:v>
                </c:pt>
                <c:pt idx="5">
                  <c:v>34.234269572907131</c:v>
                </c:pt>
                <c:pt idx="6">
                  <c:v>36.963147733447869</c:v>
                </c:pt>
                <c:pt idx="7">
                  <c:v>37.95122991416855</c:v>
                </c:pt>
                <c:pt idx="8">
                  <c:v>38.969253979153493</c:v>
                </c:pt>
                <c:pt idx="9">
                  <c:v>39.957336159874167</c:v>
                </c:pt>
                <c:pt idx="10">
                  <c:v>44.512636188125661</c:v>
                </c:pt>
                <c:pt idx="11">
                  <c:v>36.045490006918435</c:v>
                </c:pt>
                <c:pt idx="12">
                  <c:v>34.309579022565551</c:v>
                </c:pt>
                <c:pt idx="13">
                  <c:v>35.487055999999995</c:v>
                </c:pt>
                <c:pt idx="14">
                  <c:v>34.727399494976886</c:v>
                </c:pt>
                <c:pt idx="15">
                  <c:v>27.828729813053091</c:v>
                </c:pt>
                <c:pt idx="16">
                  <c:v>25.821803000550606</c:v>
                </c:pt>
                <c:pt idx="17">
                  <c:v>22.314752000000002</c:v>
                </c:pt>
                <c:pt idx="18">
                  <c:v>13.370253732879473</c:v>
                </c:pt>
                <c:pt idx="19">
                  <c:v>12.950620915309582</c:v>
                </c:pt>
                <c:pt idx="20">
                  <c:v>10.444249462603306</c:v>
                </c:pt>
                <c:pt idx="21" formatCode="0">
                  <c:v>8.7224880000000002</c:v>
                </c:pt>
                <c:pt idx="22">
                  <c:v>5.5487247592447062</c:v>
                </c:pt>
                <c:pt idx="23">
                  <c:v>2.9930445873252332</c:v>
                </c:pt>
                <c:pt idx="24">
                  <c:v>3.526210661636902</c:v>
                </c:pt>
                <c:pt idx="25">
                  <c:v>3</c:v>
                </c:pt>
                <c:pt idx="26">
                  <c:v>3.4834106866991101</c:v>
                </c:pt>
                <c:pt idx="27">
                  <c:v>2.8834010636912977</c:v>
                </c:pt>
                <c:pt idx="28">
                  <c:v>2.9774098793298824</c:v>
                </c:pt>
                <c:pt idx="29">
                  <c:v>3</c:v>
                </c:pt>
                <c:pt idx="30" formatCode="0.00">
                  <c:v>4.4320835988412783</c:v>
                </c:pt>
                <c:pt idx="31" formatCode="0.00">
                  <c:v>4.9647133073011736</c:v>
                </c:pt>
                <c:pt idx="32" formatCode="0.00">
                  <c:v>4.2770219585491782</c:v>
                </c:pt>
              </c:numCache>
            </c:numRef>
          </c:val>
          <c:smooth val="0"/>
          <c:extLst>
            <c:ext xmlns:c16="http://schemas.microsoft.com/office/drawing/2014/chart" uri="{C3380CC4-5D6E-409C-BE32-E72D297353CC}">
              <c16:uniqueId val="{00000002-CBC4-4A30-9AAF-89E8B036C724}"/>
            </c:ext>
          </c:extLst>
        </c:ser>
        <c:ser>
          <c:idx val="3"/>
          <c:order val="3"/>
          <c:tx>
            <c:strRef>
              <c:f>MECS_Annual_Fuel1!$F$54</c:f>
              <c:strCache>
                <c:ptCount val="1"/>
                <c:pt idx="0">
                  <c:v>321</c:v>
                </c:pt>
              </c:strCache>
            </c:strRef>
          </c:tx>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MECS_Annual_Fuel1!$G$54:$AM$54</c:f>
              <c:numCache>
                <c:formatCode>General</c:formatCode>
                <c:ptCount val="33"/>
                <c:pt idx="0">
                  <c:v>248.79987339144392</c:v>
                </c:pt>
                <c:pt idx="1">
                  <c:v>255.75096288820842</c:v>
                </c:pt>
                <c:pt idx="2">
                  <c:v>293.32052036990052</c:v>
                </c:pt>
                <c:pt idx="3">
                  <c:v>302.60197307912358</c:v>
                </c:pt>
                <c:pt idx="4">
                  <c:v>314.98874210000514</c:v>
                </c:pt>
                <c:pt idx="5">
                  <c:v>317.55370658139748</c:v>
                </c:pt>
                <c:pt idx="6">
                  <c:v>314.83245355703338</c:v>
                </c:pt>
                <c:pt idx="7">
                  <c:v>285.65263466533662</c:v>
                </c:pt>
                <c:pt idx="8">
                  <c:v>308.99770621726981</c:v>
                </c:pt>
                <c:pt idx="9">
                  <c:v>319.45866435321039</c:v>
                </c:pt>
                <c:pt idx="10">
                  <c:v>373.11340884966961</c:v>
                </c:pt>
                <c:pt idx="11">
                  <c:v>354.43765969546752</c:v>
                </c:pt>
                <c:pt idx="12">
                  <c:v>351.22789070081427</c:v>
                </c:pt>
                <c:pt idx="13">
                  <c:v>431.76796000000002</c:v>
                </c:pt>
                <c:pt idx="14">
                  <c:v>456.65878470026882</c:v>
                </c:pt>
                <c:pt idx="15">
                  <c:v>395.38550253374592</c:v>
                </c:pt>
                <c:pt idx="16">
                  <c:v>334.95065632387758</c:v>
                </c:pt>
                <c:pt idx="17">
                  <c:v>303.39918</c:v>
                </c:pt>
                <c:pt idx="18">
                  <c:v>315.36572210850733</c:v>
                </c:pt>
                <c:pt idx="19">
                  <c:v>334.05313526607807</c:v>
                </c:pt>
                <c:pt idx="20">
                  <c:v>328.05195783490865</c:v>
                </c:pt>
                <c:pt idx="21" formatCode="0">
                  <c:v>353.821124</c:v>
                </c:pt>
                <c:pt idx="22">
                  <c:v>384.72650075395597</c:v>
                </c:pt>
                <c:pt idx="23">
                  <c:v>340.75137141804316</c:v>
                </c:pt>
                <c:pt idx="24">
                  <c:v>349.87643313649335</c:v>
                </c:pt>
                <c:pt idx="25">
                  <c:v>418</c:v>
                </c:pt>
                <c:pt idx="26">
                  <c:v>344.71258871576003</c:v>
                </c:pt>
                <c:pt idx="27">
                  <c:v>268.15711778672494</c:v>
                </c:pt>
                <c:pt idx="28">
                  <c:v>299.38234805307519</c:v>
                </c:pt>
                <c:pt idx="29">
                  <c:v>311</c:v>
                </c:pt>
                <c:pt idx="30" formatCode="0.00">
                  <c:v>386.26514793818404</c:v>
                </c:pt>
                <c:pt idx="31" formatCode="0.00">
                  <c:v>429.30426619607431</c:v>
                </c:pt>
                <c:pt idx="32" formatCode="0.00">
                  <c:v>458.23367249135623</c:v>
                </c:pt>
              </c:numCache>
            </c:numRef>
          </c:val>
          <c:smooth val="0"/>
          <c:extLst>
            <c:ext xmlns:c16="http://schemas.microsoft.com/office/drawing/2014/chart" uri="{C3380CC4-5D6E-409C-BE32-E72D297353CC}">
              <c16:uniqueId val="{00000003-CBC4-4A30-9AAF-89E8B036C724}"/>
            </c:ext>
          </c:extLst>
        </c:ser>
        <c:dLbls>
          <c:showLegendKey val="0"/>
          <c:showVal val="0"/>
          <c:showCatName val="0"/>
          <c:showSerName val="0"/>
          <c:showPercent val="0"/>
          <c:showBubbleSize val="0"/>
        </c:dLbls>
        <c:marker val="1"/>
        <c:smooth val="0"/>
        <c:axId val="123917824"/>
        <c:axId val="124851840"/>
      </c:lineChart>
      <c:catAx>
        <c:axId val="12391782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4851840"/>
        <c:crosses val="autoZero"/>
        <c:auto val="1"/>
        <c:lblAlgn val="ctr"/>
        <c:lblOffset val="100"/>
        <c:tickLblSkip val="3"/>
        <c:tickMarkSkip val="1"/>
        <c:noMultiLvlLbl val="0"/>
      </c:catAx>
      <c:valAx>
        <c:axId val="12485184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3917824"/>
        <c:crosses val="autoZero"/>
        <c:crossBetween val="between"/>
      </c:valAx>
      <c:spPr>
        <a:solidFill>
          <a:srgbClr val="C0C0C0"/>
        </a:solidFill>
        <a:ln w="12700">
          <a:solidFill>
            <a:srgbClr val="808080"/>
          </a:solidFill>
          <a:prstDash val="solid"/>
        </a:ln>
      </c:spPr>
    </c:plotArea>
    <c:legend>
      <c:legendPos val="r"/>
      <c:layout>
        <c:manualLayout>
          <c:xMode val="edge"/>
          <c:yMode val="edge"/>
          <c:x val="0.84951592216021532"/>
          <c:y val="0.34464751958224543"/>
          <c:w val="0.12096017124073083"/>
          <c:h val="0.19287322766116377"/>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96904386795209E-2"/>
          <c:y val="6.7885117493472591E-2"/>
          <c:w val="0.78317275860379787"/>
          <c:h val="0.77545691906005221"/>
        </c:manualLayout>
      </c:layout>
      <c:lineChart>
        <c:grouping val="standard"/>
        <c:varyColors val="0"/>
        <c:ser>
          <c:idx val="0"/>
          <c:order val="0"/>
          <c:tx>
            <c:strRef>
              <c:f>MECS_Annual_Fuel1!$F$75</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MECS_Annual_Fuel1!$G$75:$AM$75</c:f>
              <c:numCache>
                <c:formatCode>General</c:formatCode>
                <c:ptCount val="33"/>
                <c:pt idx="0">
                  <c:v>2017.3632372266716</c:v>
                </c:pt>
                <c:pt idx="1">
                  <c:v>1985.8799822003309</c:v>
                </c:pt>
                <c:pt idx="2">
                  <c:v>2039.394142819116</c:v>
                </c:pt>
                <c:pt idx="3">
                  <c:v>2153.9562641132611</c:v>
                </c:pt>
                <c:pt idx="4">
                  <c:v>2186.1253063093668</c:v>
                </c:pt>
                <c:pt idx="5">
                  <c:v>2232.4561523667417</c:v>
                </c:pt>
                <c:pt idx="6">
                  <c:v>2267.2367478194155</c:v>
                </c:pt>
                <c:pt idx="7">
                  <c:v>2376.8968151839495</c:v>
                </c:pt>
                <c:pt idx="8">
                  <c:v>2413.860058955303</c:v>
                </c:pt>
                <c:pt idx="9">
                  <c:v>2406.5414497255788</c:v>
                </c:pt>
                <c:pt idx="10">
                  <c:v>2475.1031059942475</c:v>
                </c:pt>
                <c:pt idx="11">
                  <c:v>2445.7058531055864</c:v>
                </c:pt>
                <c:pt idx="12">
                  <c:v>2444.4671078929837</c:v>
                </c:pt>
                <c:pt idx="13">
                  <c:v>2503.918032</c:v>
                </c:pt>
                <c:pt idx="14">
                  <c:v>2465.1884562264563</c:v>
                </c:pt>
                <c:pt idx="15">
                  <c:v>2357.2657029108259</c:v>
                </c:pt>
                <c:pt idx="16">
                  <c:v>2298.5199852617166</c:v>
                </c:pt>
                <c:pt idx="17">
                  <c:v>2137.503764</c:v>
                </c:pt>
                <c:pt idx="18">
                  <c:v>2062.2055493557114</c:v>
                </c:pt>
                <c:pt idx="19">
                  <c:v>2028.3709641295484</c:v>
                </c:pt>
                <c:pt idx="20">
                  <c:v>2041.520676975912</c:v>
                </c:pt>
                <c:pt idx="21">
                  <c:v>2106.5685840000001</c:v>
                </c:pt>
                <c:pt idx="22">
                  <c:v>2090.1212360058084</c:v>
                </c:pt>
                <c:pt idx="23">
                  <c:v>1905.2774059551602</c:v>
                </c:pt>
                <c:pt idx="24">
                  <c:v>1774.044580052572</c:v>
                </c:pt>
                <c:pt idx="25">
                  <c:v>1904</c:v>
                </c:pt>
                <c:pt idx="26">
                  <c:v>1722.0786392639382</c:v>
                </c:pt>
                <c:pt idx="27">
                  <c:v>1678.8466954510259</c:v>
                </c:pt>
                <c:pt idx="28">
                  <c:v>1810.8084829965851</c:v>
                </c:pt>
                <c:pt idx="29">
                  <c:v>1899</c:v>
                </c:pt>
                <c:pt idx="30">
                  <c:v>1916.5339866445674</c:v>
                </c:pt>
                <c:pt idx="31">
                  <c:v>1920.6028756718433</c:v>
                </c:pt>
                <c:pt idx="32">
                  <c:v>1793.6389598515498</c:v>
                </c:pt>
              </c:numCache>
            </c:numRef>
          </c:val>
          <c:smooth val="0"/>
          <c:extLst>
            <c:ext xmlns:c16="http://schemas.microsoft.com/office/drawing/2014/chart" uri="{C3380CC4-5D6E-409C-BE32-E72D297353CC}">
              <c16:uniqueId val="{00000000-9EA1-4117-B58E-F853987BFD6E}"/>
            </c:ext>
          </c:extLst>
        </c:ser>
        <c:ser>
          <c:idx val="1"/>
          <c:order val="1"/>
          <c:tx>
            <c:strRef>
              <c:f>MECS_Annual_Fuel1!$F$76</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MECS_Annual_Fuel1!$G$76:$AM$76</c:f>
              <c:numCache>
                <c:formatCode>General</c:formatCode>
                <c:ptCount val="33"/>
                <c:pt idx="0">
                  <c:v>26.699079874753146</c:v>
                </c:pt>
                <c:pt idx="1">
                  <c:v>31.398684042991388</c:v>
                </c:pt>
                <c:pt idx="2">
                  <c:v>35.457031000499867</c:v>
                </c:pt>
                <c:pt idx="3">
                  <c:v>40.089746346787351</c:v>
                </c:pt>
                <c:pt idx="4">
                  <c:v>41.243633713675202</c:v>
                </c:pt>
                <c:pt idx="5">
                  <c:v>40.250360783695889</c:v>
                </c:pt>
                <c:pt idx="6">
                  <c:v>38.576483481067747</c:v>
                </c:pt>
                <c:pt idx="7">
                  <c:v>38.178392597320688</c:v>
                </c:pt>
                <c:pt idx="8">
                  <c:v>35.271440939704874</c:v>
                </c:pt>
                <c:pt idx="9">
                  <c:v>37.113573244007682</c:v>
                </c:pt>
                <c:pt idx="10">
                  <c:v>43.188518122581051</c:v>
                </c:pt>
                <c:pt idx="11">
                  <c:v>40.33110661016218</c:v>
                </c:pt>
                <c:pt idx="12">
                  <c:v>40.608372244311404</c:v>
                </c:pt>
                <c:pt idx="13">
                  <c:v>47.004247999999997</c:v>
                </c:pt>
                <c:pt idx="14">
                  <c:v>52.164830887173935</c:v>
                </c:pt>
                <c:pt idx="15">
                  <c:v>43.975163094048298</c:v>
                </c:pt>
                <c:pt idx="16">
                  <c:v>43.927533603441304</c:v>
                </c:pt>
                <c:pt idx="17">
                  <c:v>47.795832000000004</c:v>
                </c:pt>
                <c:pt idx="18">
                  <c:v>39.692067517161526</c:v>
                </c:pt>
                <c:pt idx="19">
                  <c:v>39.966826921984563</c:v>
                </c:pt>
                <c:pt idx="20">
                  <c:v>36.753303021623331</c:v>
                </c:pt>
                <c:pt idx="21">
                  <c:v>40.374451999999998</c:v>
                </c:pt>
                <c:pt idx="22">
                  <c:v>40.901224952433246</c:v>
                </c:pt>
                <c:pt idx="23">
                  <c:v>32.461027328280444</c:v>
                </c:pt>
                <c:pt idx="24">
                  <c:v>42.881660809701962</c:v>
                </c:pt>
                <c:pt idx="25">
                  <c:v>36</c:v>
                </c:pt>
                <c:pt idx="26">
                  <c:v>39.681746342190024</c:v>
                </c:pt>
                <c:pt idx="27">
                  <c:v>40.886951644453283</c:v>
                </c:pt>
                <c:pt idx="28">
                  <c:v>41.131101202521521</c:v>
                </c:pt>
                <c:pt idx="29">
                  <c:v>40</c:v>
                </c:pt>
                <c:pt idx="30">
                  <c:v>41.772916701739263</c:v>
                </c:pt>
                <c:pt idx="31">
                  <c:v>48.826228708148577</c:v>
                </c:pt>
                <c:pt idx="32">
                  <c:v>59.497184411456416</c:v>
                </c:pt>
              </c:numCache>
            </c:numRef>
          </c:val>
          <c:smooth val="0"/>
          <c:extLst>
            <c:ext xmlns:c16="http://schemas.microsoft.com/office/drawing/2014/chart" uri="{C3380CC4-5D6E-409C-BE32-E72D297353CC}">
              <c16:uniqueId val="{00000001-9EA1-4117-B58E-F853987BFD6E}"/>
            </c:ext>
          </c:extLst>
        </c:ser>
        <c:ser>
          <c:idx val="2"/>
          <c:order val="2"/>
          <c:tx>
            <c:strRef>
              <c:f>MECS_Annual_Fuel1!$F$77</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MECS_Annual_Fuel1!$G$77:$AM$77</c:f>
              <c:numCache>
                <c:formatCode>General</c:formatCode>
                <c:ptCount val="33"/>
                <c:pt idx="0">
                  <c:v>2519.6333802647096</c:v>
                </c:pt>
                <c:pt idx="1">
                  <c:v>2626.7910501830515</c:v>
                </c:pt>
                <c:pt idx="2">
                  <c:v>2540.5233690368536</c:v>
                </c:pt>
                <c:pt idx="3">
                  <c:v>3018.3157833208888</c:v>
                </c:pt>
                <c:pt idx="4">
                  <c:v>2915.2969285910458</c:v>
                </c:pt>
                <c:pt idx="5">
                  <c:v>3124.7889425288813</c:v>
                </c:pt>
                <c:pt idx="6">
                  <c:v>2884.3712617836486</c:v>
                </c:pt>
                <c:pt idx="7">
                  <c:v>2872.0335311985218</c:v>
                </c:pt>
                <c:pt idx="8">
                  <c:v>3246.9546532568111</c:v>
                </c:pt>
                <c:pt idx="9">
                  <c:v>3144.6947232151383</c:v>
                </c:pt>
                <c:pt idx="10">
                  <c:v>3137.6429801840677</c:v>
                </c:pt>
                <c:pt idx="11">
                  <c:v>3075.4499035761555</c:v>
                </c:pt>
                <c:pt idx="12">
                  <c:v>2949.7808019834833</c:v>
                </c:pt>
                <c:pt idx="13">
                  <c:v>3495.5546920000002</c:v>
                </c:pt>
                <c:pt idx="14">
                  <c:v>3559.9686790500004</c:v>
                </c:pt>
                <c:pt idx="15">
                  <c:v>3613.8718330000002</c:v>
                </c:pt>
                <c:pt idx="16">
                  <c:v>3380.0635843649989</c:v>
                </c:pt>
                <c:pt idx="17">
                  <c:v>3075.1213680000001</c:v>
                </c:pt>
                <c:pt idx="18">
                  <c:v>2948.1391387304238</c:v>
                </c:pt>
                <c:pt idx="19">
                  <c:v>3025.491120124726</c:v>
                </c:pt>
                <c:pt idx="20">
                  <c:v>3193.4321473633022</c:v>
                </c:pt>
                <c:pt idx="21">
                  <c:v>3259.0627920000002</c:v>
                </c:pt>
                <c:pt idx="22">
                  <c:v>3224.6173172433992</c:v>
                </c:pt>
                <c:pt idx="23">
                  <c:v>3293.4724138945789</c:v>
                </c:pt>
                <c:pt idx="24">
                  <c:v>2789.2590401073339</c:v>
                </c:pt>
                <c:pt idx="25">
                  <c:v>3159</c:v>
                </c:pt>
                <c:pt idx="26">
                  <c:v>3119.7773525461766</c:v>
                </c:pt>
                <c:pt idx="27">
                  <c:v>2948.0452954146526</c:v>
                </c:pt>
                <c:pt idx="28">
                  <c:v>3141.97711054922</c:v>
                </c:pt>
                <c:pt idx="29">
                  <c:v>3346</c:v>
                </c:pt>
                <c:pt idx="30">
                  <c:v>2662.5075454970774</c:v>
                </c:pt>
                <c:pt idx="31">
                  <c:v>2393.0286293869767</c:v>
                </c:pt>
                <c:pt idx="32">
                  <c:v>2653.5491863240372</c:v>
                </c:pt>
              </c:numCache>
            </c:numRef>
          </c:val>
          <c:smooth val="0"/>
          <c:extLst>
            <c:ext xmlns:c16="http://schemas.microsoft.com/office/drawing/2014/chart" uri="{C3380CC4-5D6E-409C-BE32-E72D297353CC}">
              <c16:uniqueId val="{00000002-9EA1-4117-B58E-F853987BFD6E}"/>
            </c:ext>
          </c:extLst>
        </c:ser>
        <c:ser>
          <c:idx val="3"/>
          <c:order val="3"/>
          <c:tx>
            <c:strRef>
              <c:f>MECS_Annual_Fuel1!$F$78</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MECS_Annual_Fuel1!$G$78:$AM$78</c:f>
              <c:numCache>
                <c:formatCode>General</c:formatCode>
                <c:ptCount val="33"/>
                <c:pt idx="0">
                  <c:v>1982.3306729500532</c:v>
                </c:pt>
                <c:pt idx="1">
                  <c:v>1831.8447835330508</c:v>
                </c:pt>
                <c:pt idx="2">
                  <c:v>2195.6054591308875</c:v>
                </c:pt>
                <c:pt idx="3">
                  <c:v>2425.2974275342949</c:v>
                </c:pt>
                <c:pt idx="4">
                  <c:v>2499.3203693504865</c:v>
                </c:pt>
                <c:pt idx="5">
                  <c:v>2517.1130386253217</c:v>
                </c:pt>
                <c:pt idx="6">
                  <c:v>2577.2858974832011</c:v>
                </c:pt>
                <c:pt idx="7">
                  <c:v>2632.2200280541119</c:v>
                </c:pt>
                <c:pt idx="8">
                  <c:v>2820.3739697938513</c:v>
                </c:pt>
                <c:pt idx="9">
                  <c:v>2729.1714558311169</c:v>
                </c:pt>
                <c:pt idx="10">
                  <c:v>2877.6037699885965</c:v>
                </c:pt>
                <c:pt idx="11">
                  <c:v>2983.4361586099817</c:v>
                </c:pt>
                <c:pt idx="12">
                  <c:v>2817.9117757813692</c:v>
                </c:pt>
                <c:pt idx="13">
                  <c:v>3126.5770039999998</c:v>
                </c:pt>
                <c:pt idx="14">
                  <c:v>3498.9703549895826</c:v>
                </c:pt>
                <c:pt idx="15">
                  <c:v>3615.6959010259156</c:v>
                </c:pt>
                <c:pt idx="16">
                  <c:v>3551.4100552177861</c:v>
                </c:pt>
                <c:pt idx="17">
                  <c:v>3246.609152</c:v>
                </c:pt>
                <c:pt idx="18">
                  <c:v>2888.0664643530986</c:v>
                </c:pt>
                <c:pt idx="19">
                  <c:v>2813.8843609137466</c:v>
                </c:pt>
                <c:pt idx="20">
                  <c:v>2732.1209966405363</c:v>
                </c:pt>
                <c:pt idx="21">
                  <c:v>2677.7578599999997</c:v>
                </c:pt>
                <c:pt idx="22">
                  <c:v>2785.9559975493548</c:v>
                </c:pt>
                <c:pt idx="23">
                  <c:v>2693.658556429019</c:v>
                </c:pt>
                <c:pt idx="24">
                  <c:v>2420.7850783001531</c:v>
                </c:pt>
                <c:pt idx="25">
                  <c:v>2772</c:v>
                </c:pt>
                <c:pt idx="26">
                  <c:v>2865.8842342198377</c:v>
                </c:pt>
                <c:pt idx="27">
                  <c:v>2721.4162617878787</c:v>
                </c:pt>
                <c:pt idx="28">
                  <c:v>3072.8614151678034</c:v>
                </c:pt>
                <c:pt idx="29">
                  <c:v>3069</c:v>
                </c:pt>
                <c:pt idx="30">
                  <c:v>3261.3093142911703</c:v>
                </c:pt>
                <c:pt idx="31">
                  <c:v>3611.5291991229756</c:v>
                </c:pt>
                <c:pt idx="32">
                  <c:v>3286.1766212997227</c:v>
                </c:pt>
              </c:numCache>
            </c:numRef>
          </c:val>
          <c:smooth val="0"/>
          <c:extLst>
            <c:ext xmlns:c16="http://schemas.microsoft.com/office/drawing/2014/chart" uri="{C3380CC4-5D6E-409C-BE32-E72D297353CC}">
              <c16:uniqueId val="{00000003-9EA1-4117-B58E-F853987BFD6E}"/>
            </c:ext>
          </c:extLst>
        </c:ser>
        <c:dLbls>
          <c:showLegendKey val="0"/>
          <c:showVal val="0"/>
          <c:showCatName val="0"/>
          <c:showSerName val="0"/>
          <c:showPercent val="0"/>
          <c:showBubbleSize val="0"/>
        </c:dLbls>
        <c:marker val="1"/>
        <c:smooth val="0"/>
        <c:axId val="123919360"/>
        <c:axId val="130293760"/>
      </c:lineChart>
      <c:catAx>
        <c:axId val="1239193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293760"/>
        <c:crosses val="autoZero"/>
        <c:auto val="1"/>
        <c:lblAlgn val="ctr"/>
        <c:lblOffset val="100"/>
        <c:tickLblSkip val="3"/>
        <c:tickMarkSkip val="1"/>
        <c:noMultiLvlLbl val="0"/>
      </c:catAx>
      <c:valAx>
        <c:axId val="13029376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3919360"/>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4464751958224543"/>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96904386795209E-2"/>
          <c:y val="6.7885117493472591E-2"/>
          <c:w val="0.78317275860379787"/>
          <c:h val="0.77545691906005221"/>
        </c:manualLayout>
      </c:layout>
      <c:lineChart>
        <c:grouping val="standard"/>
        <c:varyColors val="0"/>
        <c:ser>
          <c:idx val="0"/>
          <c:order val="0"/>
          <c:tx>
            <c:strRef>
              <c:f>MECS_Annual_Fuel1!$F$97</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MECS_Annual_Fuel1!$G$97:$AM$97</c:f>
              <c:numCache>
                <c:formatCode>General</c:formatCode>
                <c:ptCount val="33"/>
                <c:pt idx="0">
                  <c:v>128.43055874180072</c:v>
                </c:pt>
                <c:pt idx="1">
                  <c:v>135.02187702867309</c:v>
                </c:pt>
                <c:pt idx="2">
                  <c:v>151.42293972634729</c:v>
                </c:pt>
                <c:pt idx="3">
                  <c:v>150.36582650079393</c:v>
                </c:pt>
                <c:pt idx="4">
                  <c:v>156.13332627095838</c:v>
                </c:pt>
                <c:pt idx="5">
                  <c:v>135.02276624658089</c:v>
                </c:pt>
                <c:pt idx="6">
                  <c:v>125.61488437265322</c:v>
                </c:pt>
                <c:pt idx="7">
                  <c:v>132.95089229393827</c:v>
                </c:pt>
                <c:pt idx="8">
                  <c:v>136.77256011490636</c:v>
                </c:pt>
                <c:pt idx="9">
                  <c:v>141.58522460569185</c:v>
                </c:pt>
                <c:pt idx="10">
                  <c:v>151.80278514264387</c:v>
                </c:pt>
                <c:pt idx="11">
                  <c:v>145.59186602176126</c:v>
                </c:pt>
                <c:pt idx="12">
                  <c:v>135.30020215581013</c:v>
                </c:pt>
                <c:pt idx="13">
                  <c:v>144.39999600000002</c:v>
                </c:pt>
                <c:pt idx="14">
                  <c:v>163.77373974259751</c:v>
                </c:pt>
                <c:pt idx="15">
                  <c:v>170.55457311273068</c:v>
                </c:pt>
                <c:pt idx="16">
                  <c:v>170.96821812825092</c:v>
                </c:pt>
                <c:pt idx="17">
                  <c:v>166.54642800000002</c:v>
                </c:pt>
                <c:pt idx="18">
                  <c:v>162.38700858836174</c:v>
                </c:pt>
                <c:pt idx="19">
                  <c:v>156.34521408513098</c:v>
                </c:pt>
                <c:pt idx="20">
                  <c:v>150.24560489044413</c:v>
                </c:pt>
                <c:pt idx="21">
                  <c:v>153.785552</c:v>
                </c:pt>
                <c:pt idx="22">
                  <c:v>143.10994103075981</c:v>
                </c:pt>
                <c:pt idx="23">
                  <c:v>118.89421130373546</c:v>
                </c:pt>
                <c:pt idx="24">
                  <c:v>111.58171088640285</c:v>
                </c:pt>
                <c:pt idx="25">
                  <c:v>116</c:v>
                </c:pt>
                <c:pt idx="26">
                  <c:v>114.33836166733738</c:v>
                </c:pt>
                <c:pt idx="27">
                  <c:v>109.54490865472242</c:v>
                </c:pt>
                <c:pt idx="28">
                  <c:v>111.07562545949031</c:v>
                </c:pt>
                <c:pt idx="29">
                  <c:v>104</c:v>
                </c:pt>
                <c:pt idx="30">
                  <c:v>118.14538873303597</c:v>
                </c:pt>
                <c:pt idx="31">
                  <c:v>134.51930028316804</c:v>
                </c:pt>
                <c:pt idx="32">
                  <c:v>157.39604481768811</c:v>
                </c:pt>
              </c:numCache>
            </c:numRef>
          </c:val>
          <c:smooth val="0"/>
          <c:extLst>
            <c:ext xmlns:c16="http://schemas.microsoft.com/office/drawing/2014/chart" uri="{C3380CC4-5D6E-409C-BE32-E72D297353CC}">
              <c16:uniqueId val="{00000000-5FFE-4BAD-8A7F-0FC5E0C57D16}"/>
            </c:ext>
          </c:extLst>
        </c:ser>
        <c:ser>
          <c:idx val="1"/>
          <c:order val="1"/>
          <c:tx>
            <c:strRef>
              <c:f>MECS_Annual_Fuel1!$F$98</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MECS_Annual_Fuel1!$G$98:$AM$98</c:f>
              <c:numCache>
                <c:formatCode>General</c:formatCode>
                <c:ptCount val="33"/>
                <c:pt idx="0">
                  <c:v>791.01545520082436</c:v>
                </c:pt>
                <c:pt idx="1">
                  <c:v>833.84549437982139</c:v>
                </c:pt>
                <c:pt idx="2">
                  <c:v>865.36110422201477</c:v>
                </c:pt>
                <c:pt idx="3">
                  <c:v>884.64406029384702</c:v>
                </c:pt>
                <c:pt idx="4">
                  <c:v>872.26871686531888</c:v>
                </c:pt>
                <c:pt idx="5">
                  <c:v>839.79715936733282</c:v>
                </c:pt>
                <c:pt idx="6">
                  <c:v>788.81428212035598</c:v>
                </c:pt>
                <c:pt idx="7">
                  <c:v>834.39754001449057</c:v>
                </c:pt>
                <c:pt idx="8">
                  <c:v>866.94246720947717</c:v>
                </c:pt>
                <c:pt idx="9">
                  <c:v>822.05619657793363</c:v>
                </c:pt>
                <c:pt idx="10">
                  <c:v>836.37810053118699</c:v>
                </c:pt>
                <c:pt idx="11">
                  <c:v>768.59394669215737</c:v>
                </c:pt>
                <c:pt idx="12">
                  <c:v>781.48054541412921</c:v>
                </c:pt>
                <c:pt idx="13">
                  <c:v>834.98687599999994</c:v>
                </c:pt>
                <c:pt idx="14">
                  <c:v>887.75742962271181</c:v>
                </c:pt>
                <c:pt idx="15">
                  <c:v>860.3030388807673</c:v>
                </c:pt>
                <c:pt idx="16">
                  <c:v>844.57954689595817</c:v>
                </c:pt>
                <c:pt idx="17">
                  <c:v>910.76708400000007</c:v>
                </c:pt>
                <c:pt idx="18">
                  <c:v>843.66258808021871</c:v>
                </c:pt>
                <c:pt idx="19">
                  <c:v>846.35668023327139</c:v>
                </c:pt>
                <c:pt idx="20">
                  <c:v>887.23108283057456</c:v>
                </c:pt>
                <c:pt idx="21">
                  <c:v>958.36588800000004</c:v>
                </c:pt>
                <c:pt idx="22">
                  <c:v>888.6890971564701</c:v>
                </c:pt>
                <c:pt idx="23">
                  <c:v>744.58615673498946</c:v>
                </c:pt>
                <c:pt idx="24">
                  <c:v>646.20773136287312</c:v>
                </c:pt>
                <c:pt idx="25">
                  <c:v>600</c:v>
                </c:pt>
                <c:pt idx="26">
                  <c:v>611.9249777848737</c:v>
                </c:pt>
                <c:pt idx="27">
                  <c:v>624.0796384681654</c:v>
                </c:pt>
                <c:pt idx="28">
                  <c:v>679.69946888069933</c:v>
                </c:pt>
                <c:pt idx="29">
                  <c:v>699</c:v>
                </c:pt>
                <c:pt idx="30">
                  <c:v>721.54524566856969</c:v>
                </c:pt>
                <c:pt idx="31">
                  <c:v>777.91367304417702</c:v>
                </c:pt>
                <c:pt idx="32">
                  <c:v>714.07677883262534</c:v>
                </c:pt>
              </c:numCache>
            </c:numRef>
          </c:val>
          <c:smooth val="0"/>
          <c:extLst>
            <c:ext xmlns:c16="http://schemas.microsoft.com/office/drawing/2014/chart" uri="{C3380CC4-5D6E-409C-BE32-E72D297353CC}">
              <c16:uniqueId val="{00000001-5FFE-4BAD-8A7F-0FC5E0C57D16}"/>
            </c:ext>
          </c:extLst>
        </c:ser>
        <c:ser>
          <c:idx val="2"/>
          <c:order val="2"/>
          <c:tx>
            <c:strRef>
              <c:f>MECS_Annual_Fuel1!$F$99</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MECS_Annual_Fuel1!$G$99:$AM$99</c:f>
              <c:numCache>
                <c:formatCode>General</c:formatCode>
                <c:ptCount val="33"/>
                <c:pt idx="0">
                  <c:v>1931.5726855408925</c:v>
                </c:pt>
                <c:pt idx="1">
                  <c:v>1819.4681276410374</c:v>
                </c:pt>
                <c:pt idx="2">
                  <c:v>1819.8952963174174</c:v>
                </c:pt>
                <c:pt idx="3">
                  <c:v>2134.8918237453663</c:v>
                </c:pt>
                <c:pt idx="4">
                  <c:v>2135.9489196898717</c:v>
                </c:pt>
                <c:pt idx="5">
                  <c:v>2058.910056035751</c:v>
                </c:pt>
                <c:pt idx="6">
                  <c:v>1811.54797443144</c:v>
                </c:pt>
                <c:pt idx="7">
                  <c:v>1860.7007555363432</c:v>
                </c:pt>
                <c:pt idx="8">
                  <c:v>1980.5512991134312</c:v>
                </c:pt>
                <c:pt idx="9">
                  <c:v>2096.657607556745</c:v>
                </c:pt>
                <c:pt idx="10">
                  <c:v>2018.3220014173257</c:v>
                </c:pt>
                <c:pt idx="11">
                  <c:v>2087.7303780101934</c:v>
                </c:pt>
                <c:pt idx="12">
                  <c:v>2032.416827386887</c:v>
                </c:pt>
                <c:pt idx="13">
                  <c:v>2031.356088</c:v>
                </c:pt>
                <c:pt idx="14">
                  <c:v>1927.9607115402796</c:v>
                </c:pt>
                <c:pt idx="15">
                  <c:v>1984.8032031815608</c:v>
                </c:pt>
                <c:pt idx="16">
                  <c:v>1881.1112478914877</c:v>
                </c:pt>
                <c:pt idx="17">
                  <c:v>1629.9591760000001</c:v>
                </c:pt>
                <c:pt idx="18">
                  <c:v>1681.9663811639548</c:v>
                </c:pt>
                <c:pt idx="19">
                  <c:v>1709.7117812587637</c:v>
                </c:pt>
                <c:pt idx="20">
                  <c:v>1414.7412336622619</c:v>
                </c:pt>
                <c:pt idx="21">
                  <c:v>1285.6831</c:v>
                </c:pt>
                <c:pt idx="22">
                  <c:v>1398.596658536504</c:v>
                </c:pt>
                <c:pt idx="23">
                  <c:v>1367.2205669627242</c:v>
                </c:pt>
                <c:pt idx="24">
                  <c:v>960.90080405798346</c:v>
                </c:pt>
                <c:pt idx="25">
                  <c:v>1255</c:v>
                </c:pt>
                <c:pt idx="26">
                  <c:v>1260.1959118059083</c:v>
                </c:pt>
                <c:pt idx="27">
                  <c:v>1098.7242374193011</c:v>
                </c:pt>
                <c:pt idx="28">
                  <c:v>1200.1910170523031</c:v>
                </c:pt>
                <c:pt idx="29">
                  <c:v>1251</c:v>
                </c:pt>
                <c:pt idx="30">
                  <c:v>1037.5190144924757</c:v>
                </c:pt>
                <c:pt idx="31">
                  <c:v>971.67780208199395</c:v>
                </c:pt>
                <c:pt idx="32">
                  <c:v>984.99162402591401</c:v>
                </c:pt>
              </c:numCache>
            </c:numRef>
          </c:val>
          <c:smooth val="0"/>
          <c:extLst>
            <c:ext xmlns:c16="http://schemas.microsoft.com/office/drawing/2014/chart" uri="{C3380CC4-5D6E-409C-BE32-E72D297353CC}">
              <c16:uniqueId val="{00000002-5FFE-4BAD-8A7F-0FC5E0C57D16}"/>
            </c:ext>
          </c:extLst>
        </c:ser>
        <c:ser>
          <c:idx val="3"/>
          <c:order val="3"/>
          <c:tx>
            <c:strRef>
              <c:f>MECS_Annual_Fuel1!$F$100</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MECS_Annual_Fuel1!$G$100:$AM$100</c:f>
              <c:numCache>
                <c:formatCode>General</c:formatCode>
                <c:ptCount val="33"/>
                <c:pt idx="0">
                  <c:v>218.6220851003327</c:v>
                </c:pt>
                <c:pt idx="1">
                  <c:v>236.43141790334087</c:v>
                </c:pt>
                <c:pt idx="2">
                  <c:v>242.60813301921721</c:v>
                </c:pt>
                <c:pt idx="3">
                  <c:v>251.14969713900282</c:v>
                </c:pt>
                <c:pt idx="4">
                  <c:v>241.61252681571094</c:v>
                </c:pt>
                <c:pt idx="5">
                  <c:v>222.61909858361435</c:v>
                </c:pt>
                <c:pt idx="6">
                  <c:v>217.28105279356296</c:v>
                </c:pt>
                <c:pt idx="7">
                  <c:v>221.51344199750795</c:v>
                </c:pt>
                <c:pt idx="8">
                  <c:v>238.70978614279537</c:v>
                </c:pt>
                <c:pt idx="9">
                  <c:v>263.57968281835372</c:v>
                </c:pt>
                <c:pt idx="10">
                  <c:v>289.62365431759213</c:v>
                </c:pt>
                <c:pt idx="11">
                  <c:v>248.28781667305427</c:v>
                </c:pt>
                <c:pt idx="12">
                  <c:v>234.68145352408129</c:v>
                </c:pt>
                <c:pt idx="13">
                  <c:v>265.28541200000001</c:v>
                </c:pt>
                <c:pt idx="14">
                  <c:v>288.74371654908276</c:v>
                </c:pt>
                <c:pt idx="15">
                  <c:v>253.16629233678722</c:v>
                </c:pt>
                <c:pt idx="16">
                  <c:v>236.80312759318167</c:v>
                </c:pt>
                <c:pt idx="17">
                  <c:v>226.21632399999999</c:v>
                </c:pt>
                <c:pt idx="18">
                  <c:v>210.87604467529428</c:v>
                </c:pt>
                <c:pt idx="19">
                  <c:v>206.00060290700236</c:v>
                </c:pt>
                <c:pt idx="20">
                  <c:v>209.91812999611622</c:v>
                </c:pt>
                <c:pt idx="21">
                  <c:v>253.81542000000002</c:v>
                </c:pt>
                <c:pt idx="22">
                  <c:v>236.27608038255704</c:v>
                </c:pt>
                <c:pt idx="23">
                  <c:v>186.52536210085808</c:v>
                </c:pt>
                <c:pt idx="24">
                  <c:v>192.36823377378479</c:v>
                </c:pt>
                <c:pt idx="25">
                  <c:v>174</c:v>
                </c:pt>
                <c:pt idx="26">
                  <c:v>188.724641806542</c:v>
                </c:pt>
                <c:pt idx="27">
                  <c:v>193.8473245114659</c:v>
                </c:pt>
                <c:pt idx="28">
                  <c:v>197.31845463184905</c:v>
                </c:pt>
                <c:pt idx="29">
                  <c:v>201</c:v>
                </c:pt>
                <c:pt idx="30">
                  <c:v>243.17904468805639</c:v>
                </c:pt>
                <c:pt idx="31">
                  <c:v>263.59014611965085</c:v>
                </c:pt>
                <c:pt idx="32">
                  <c:v>244.97167709150528</c:v>
                </c:pt>
              </c:numCache>
            </c:numRef>
          </c:val>
          <c:smooth val="0"/>
          <c:extLst>
            <c:ext xmlns:c16="http://schemas.microsoft.com/office/drawing/2014/chart" uri="{C3380CC4-5D6E-409C-BE32-E72D297353CC}">
              <c16:uniqueId val="{00000003-5FFE-4BAD-8A7F-0FC5E0C57D16}"/>
            </c:ext>
          </c:extLst>
        </c:ser>
        <c:dLbls>
          <c:showLegendKey val="0"/>
          <c:showVal val="0"/>
          <c:showCatName val="0"/>
          <c:showSerName val="0"/>
          <c:showPercent val="0"/>
          <c:showBubbleSize val="0"/>
        </c:dLbls>
        <c:marker val="1"/>
        <c:smooth val="0"/>
        <c:axId val="123919872"/>
        <c:axId val="130296064"/>
      </c:lineChart>
      <c:catAx>
        <c:axId val="1239198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296064"/>
        <c:crosses val="autoZero"/>
        <c:auto val="1"/>
        <c:lblAlgn val="ctr"/>
        <c:lblOffset val="100"/>
        <c:tickLblSkip val="3"/>
        <c:tickMarkSkip val="1"/>
        <c:noMultiLvlLbl val="0"/>
      </c:catAx>
      <c:valAx>
        <c:axId val="13029606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3919872"/>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4464751958224543"/>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670025646657634E-2"/>
          <c:y val="6.7885117493472591E-2"/>
          <c:w val="0.79449963734393547"/>
          <c:h val="0.77545691906005221"/>
        </c:manualLayout>
      </c:layout>
      <c:lineChart>
        <c:grouping val="standard"/>
        <c:varyColors val="0"/>
        <c:ser>
          <c:idx val="0"/>
          <c:order val="0"/>
          <c:tx>
            <c:strRef>
              <c:f>MECS_Annual_Fuel1!$F$118</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MECS_Annual_Fuel1!$G$117:$AK$117</c:f>
              <c:numCache>
                <c:formatCode>General</c:formatCode>
                <c:ptCount val="31"/>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numCache>
            </c:numRef>
          </c:cat>
          <c:val>
            <c:numRef>
              <c:f>MECS_Annual_Fuel1!$G$118:$AK$118</c:f>
              <c:numCache>
                <c:formatCode>General</c:formatCode>
                <c:ptCount val="31"/>
                <c:pt idx="0">
                  <c:v>118.55685257512636</c:v>
                </c:pt>
                <c:pt idx="1">
                  <c:v>131.76262360948817</c:v>
                </c:pt>
                <c:pt idx="2">
                  <c:v>133.59407668064966</c:v>
                </c:pt>
                <c:pt idx="3">
                  <c:v>138.88393804304263</c:v>
                </c:pt>
                <c:pt idx="4">
                  <c:v>135.84765730352257</c:v>
                </c:pt>
                <c:pt idx="5">
                  <c:v>120.63206911012374</c:v>
                </c:pt>
                <c:pt idx="6">
                  <c:v>113.47965946591772</c:v>
                </c:pt>
                <c:pt idx="7">
                  <c:v>107.05467343210731</c:v>
                </c:pt>
                <c:pt idx="8">
                  <c:v>108.0675573372492</c:v>
                </c:pt>
                <c:pt idx="9">
                  <c:v>112.92234511482371</c:v>
                </c:pt>
                <c:pt idx="10">
                  <c:v>126.83165939971266</c:v>
                </c:pt>
                <c:pt idx="11">
                  <c:v>112.60870645818754</c:v>
                </c:pt>
                <c:pt idx="12">
                  <c:v>106.43670136428443</c:v>
                </c:pt>
                <c:pt idx="13">
                  <c:v>116.85666400000001</c:v>
                </c:pt>
                <c:pt idx="14">
                  <c:v>123.53689957565348</c:v>
                </c:pt>
                <c:pt idx="15">
                  <c:v>105.82598083764137</c:v>
                </c:pt>
                <c:pt idx="16">
                  <c:v>100.6870972290484</c:v>
                </c:pt>
                <c:pt idx="17">
                  <c:v>91.191044000000005</c:v>
                </c:pt>
                <c:pt idx="18">
                  <c:v>77.406168726625395</c:v>
                </c:pt>
                <c:pt idx="19">
                  <c:v>80.038938927797375</c:v>
                </c:pt>
                <c:pt idx="20">
                  <c:v>81.01961365117613</c:v>
                </c:pt>
                <c:pt idx="21">
                  <c:v>93.471671999999998</c:v>
                </c:pt>
                <c:pt idx="22">
                  <c:v>100.2520387130355</c:v>
                </c:pt>
                <c:pt idx="23">
                  <c:v>78.853051261641937</c:v>
                </c:pt>
                <c:pt idx="24">
                  <c:v>87.825004558862744</c:v>
                </c:pt>
                <c:pt idx="25">
                  <c:v>78</c:v>
                </c:pt>
                <c:pt idx="26">
                  <c:v>87.855529195606763</c:v>
                </c:pt>
                <c:pt idx="27">
                  <c:v>83.277537047934089</c:v>
                </c:pt>
                <c:pt idx="28">
                  <c:v>85.159713195512765</c:v>
                </c:pt>
                <c:pt idx="29">
                  <c:v>84</c:v>
                </c:pt>
                <c:pt idx="30">
                  <c:v>91.210008731150793</c:v>
                </c:pt>
              </c:numCache>
            </c:numRef>
          </c:val>
          <c:smooth val="0"/>
          <c:extLst>
            <c:ext xmlns:c16="http://schemas.microsoft.com/office/drawing/2014/chart" uri="{C3380CC4-5D6E-409C-BE32-E72D297353CC}">
              <c16:uniqueId val="{00000000-4BFE-446F-8193-1916728DE4F5}"/>
            </c:ext>
          </c:extLst>
        </c:ser>
        <c:ser>
          <c:idx val="1"/>
          <c:order val="1"/>
          <c:tx>
            <c:strRef>
              <c:f>MECS_Annual_Fuel1!$F$119</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MECS_Annual_Fuel1!$G$117:$AK$117</c:f>
              <c:numCache>
                <c:formatCode>General</c:formatCode>
                <c:ptCount val="31"/>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numCache>
            </c:numRef>
          </c:cat>
          <c:val>
            <c:numRef>
              <c:f>MECS_Annual_Fuel1!$G$119:$AK$119</c:f>
              <c:numCache>
                <c:formatCode>General</c:formatCode>
                <c:ptCount val="31"/>
                <c:pt idx="0">
                  <c:v>54.789455724294967</c:v>
                </c:pt>
                <c:pt idx="1">
                  <c:v>56.773381394787812</c:v>
                </c:pt>
                <c:pt idx="2">
                  <c:v>60.400035479019486</c:v>
                </c:pt>
                <c:pt idx="3">
                  <c:v>62.693189717341816</c:v>
                </c:pt>
                <c:pt idx="4">
                  <c:v>62.697248115282292</c:v>
                </c:pt>
                <c:pt idx="5">
                  <c:v>58.165999612572094</c:v>
                </c:pt>
                <c:pt idx="6">
                  <c:v>56.220714404637988</c:v>
                </c:pt>
                <c:pt idx="7">
                  <c:v>60.22308177563918</c:v>
                </c:pt>
                <c:pt idx="8">
                  <c:v>64.59076180040033</c:v>
                </c:pt>
                <c:pt idx="9">
                  <c:v>66.930484972733723</c:v>
                </c:pt>
                <c:pt idx="10">
                  <c:v>73.038453387793254</c:v>
                </c:pt>
                <c:pt idx="11">
                  <c:v>72.049060260742735</c:v>
                </c:pt>
                <c:pt idx="12">
                  <c:v>65.619117583298419</c:v>
                </c:pt>
                <c:pt idx="13">
                  <c:v>67.813715999999999</c:v>
                </c:pt>
                <c:pt idx="14">
                  <c:v>75.412349760347183</c:v>
                </c:pt>
                <c:pt idx="15">
                  <c:v>77.55543180251361</c:v>
                </c:pt>
                <c:pt idx="16">
                  <c:v>65.334678752934266</c:v>
                </c:pt>
                <c:pt idx="17">
                  <c:v>69.142976000000004</c:v>
                </c:pt>
                <c:pt idx="18">
                  <c:v>51.968914187404209</c:v>
                </c:pt>
                <c:pt idx="19">
                  <c:v>42.613564787609363</c:v>
                </c:pt>
                <c:pt idx="20">
                  <c:v>42.539054285313028</c:v>
                </c:pt>
                <c:pt idx="21">
                  <c:v>47.139291999999998</c:v>
                </c:pt>
                <c:pt idx="22">
                  <c:v>59.317149731278079</c:v>
                </c:pt>
                <c:pt idx="23">
                  <c:v>43.705219316728574</c:v>
                </c:pt>
                <c:pt idx="24">
                  <c:v>43.349239751799061</c:v>
                </c:pt>
                <c:pt idx="25">
                  <c:v>43</c:v>
                </c:pt>
                <c:pt idx="26">
                  <c:v>49.219159610574309</c:v>
                </c:pt>
                <c:pt idx="27">
                  <c:v>52.591791695115887</c:v>
                </c:pt>
                <c:pt idx="28">
                  <c:v>49.834979659611527</c:v>
                </c:pt>
                <c:pt idx="29">
                  <c:v>50</c:v>
                </c:pt>
                <c:pt idx="30">
                  <c:v>67.394282393857807</c:v>
                </c:pt>
              </c:numCache>
            </c:numRef>
          </c:val>
          <c:smooth val="0"/>
          <c:extLst>
            <c:ext xmlns:c16="http://schemas.microsoft.com/office/drawing/2014/chart" uri="{C3380CC4-5D6E-409C-BE32-E72D297353CC}">
              <c16:uniqueId val="{00000001-4BFE-446F-8193-1916728DE4F5}"/>
            </c:ext>
          </c:extLst>
        </c:ser>
        <c:ser>
          <c:idx val="2"/>
          <c:order val="2"/>
          <c:tx>
            <c:strRef>
              <c:f>MECS_Annual_Fuel1!$F$120</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MECS_Annual_Fuel1!$G$117:$AK$117</c:f>
              <c:numCache>
                <c:formatCode>General</c:formatCode>
                <c:ptCount val="31"/>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numCache>
            </c:numRef>
          </c:cat>
          <c:val>
            <c:numRef>
              <c:f>MECS_Annual_Fuel1!$G$120:$AK$120</c:f>
              <c:numCache>
                <c:formatCode>General</c:formatCode>
                <c:ptCount val="31"/>
                <c:pt idx="0">
                  <c:v>62.919467623803939</c:v>
                </c:pt>
                <c:pt idx="1">
                  <c:v>69.916919680982033</c:v>
                </c:pt>
                <c:pt idx="2">
                  <c:v>67.361584373291663</c:v>
                </c:pt>
                <c:pt idx="3">
                  <c:v>64.55717435203718</c:v>
                </c:pt>
                <c:pt idx="4">
                  <c:v>64.994227835018435</c:v>
                </c:pt>
                <c:pt idx="5">
                  <c:v>57.975944538459906</c:v>
                </c:pt>
                <c:pt idx="6">
                  <c:v>55.611292613491038</c:v>
                </c:pt>
                <c:pt idx="7">
                  <c:v>57.234985489425249</c:v>
                </c:pt>
                <c:pt idx="8">
                  <c:v>62.688490345889321</c:v>
                </c:pt>
                <c:pt idx="9">
                  <c:v>67.848599515192888</c:v>
                </c:pt>
                <c:pt idx="10">
                  <c:v>77.856750209741236</c:v>
                </c:pt>
                <c:pt idx="11">
                  <c:v>67.460163031968875</c:v>
                </c:pt>
                <c:pt idx="12">
                  <c:v>58.848707074425718</c:v>
                </c:pt>
                <c:pt idx="13">
                  <c:v>60.671008</c:v>
                </c:pt>
                <c:pt idx="14">
                  <c:v>66.741514974897328</c:v>
                </c:pt>
                <c:pt idx="15">
                  <c:v>60.834662292932563</c:v>
                </c:pt>
                <c:pt idx="16">
                  <c:v>57.139295822194057</c:v>
                </c:pt>
                <c:pt idx="17">
                  <c:v>55.569788000000003</c:v>
                </c:pt>
                <c:pt idx="18">
                  <c:v>46.141970005738216</c:v>
                </c:pt>
                <c:pt idx="19">
                  <c:v>40.590875635963556</c:v>
                </c:pt>
                <c:pt idx="20">
                  <c:v>39.675361294282581</c:v>
                </c:pt>
                <c:pt idx="21">
                  <c:v>43.097796000000002</c:v>
                </c:pt>
                <c:pt idx="22">
                  <c:v>45.825803281131591</c:v>
                </c:pt>
                <c:pt idx="23">
                  <c:v>37.150422470058906</c:v>
                </c:pt>
                <c:pt idx="24">
                  <c:v>36.104547894183433</c:v>
                </c:pt>
                <c:pt idx="25">
                  <c:v>38</c:v>
                </c:pt>
                <c:pt idx="26">
                  <c:v>37.494398211204988</c:v>
                </c:pt>
                <c:pt idx="27">
                  <c:v>33.121930438388155</c:v>
                </c:pt>
                <c:pt idx="28">
                  <c:v>28.316056303566675</c:v>
                </c:pt>
                <c:pt idx="29">
                  <c:v>31</c:v>
                </c:pt>
                <c:pt idx="30">
                  <c:v>36.617221564145147</c:v>
                </c:pt>
              </c:numCache>
            </c:numRef>
          </c:val>
          <c:smooth val="0"/>
          <c:extLst>
            <c:ext xmlns:c16="http://schemas.microsoft.com/office/drawing/2014/chart" uri="{C3380CC4-5D6E-409C-BE32-E72D297353CC}">
              <c16:uniqueId val="{00000002-4BFE-446F-8193-1916728DE4F5}"/>
            </c:ext>
          </c:extLst>
        </c:ser>
        <c:ser>
          <c:idx val="3"/>
          <c:order val="3"/>
          <c:tx>
            <c:strRef>
              <c:f>MECS_Annual_Fuel1!$F$121</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MECS_Annual_Fuel1!$G$117:$AK$117</c:f>
              <c:numCache>
                <c:formatCode>General</c:formatCode>
                <c:ptCount val="31"/>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numCache>
            </c:numRef>
          </c:cat>
          <c:val>
            <c:numRef>
              <c:f>MECS_Annual_Fuel1!$G$121:$AK$121</c:f>
              <c:numCache>
                <c:formatCode>General</c:formatCode>
                <c:ptCount val="31"/>
                <c:pt idx="0">
                  <c:v>234.98001273849101</c:v>
                </c:pt>
                <c:pt idx="1">
                  <c:v>244.14932796917603</c:v>
                </c:pt>
                <c:pt idx="2">
                  <c:v>242.38099655777575</c:v>
                </c:pt>
                <c:pt idx="3">
                  <c:v>254.78050349600764</c:v>
                </c:pt>
                <c:pt idx="4">
                  <c:v>251.14742131079424</c:v>
                </c:pt>
                <c:pt idx="5">
                  <c:v>237.32816845389928</c:v>
                </c:pt>
                <c:pt idx="6">
                  <c:v>244.13057132985355</c:v>
                </c:pt>
                <c:pt idx="7">
                  <c:v>253.07663671240181</c:v>
                </c:pt>
                <c:pt idx="8">
                  <c:v>281.57130919761488</c:v>
                </c:pt>
                <c:pt idx="9">
                  <c:v>260.23443301298028</c:v>
                </c:pt>
                <c:pt idx="10">
                  <c:v>278.41898668330401</c:v>
                </c:pt>
                <c:pt idx="11">
                  <c:v>260.19136025138812</c:v>
                </c:pt>
                <c:pt idx="12">
                  <c:v>258.23641416413506</c:v>
                </c:pt>
                <c:pt idx="13">
                  <c:v>292.75512400000002</c:v>
                </c:pt>
                <c:pt idx="14">
                  <c:v>276.64336592279864</c:v>
                </c:pt>
                <c:pt idx="15">
                  <c:v>246.84021245432757</c:v>
                </c:pt>
                <c:pt idx="16">
                  <c:v>257.20038854295694</c:v>
                </c:pt>
                <c:pt idx="17">
                  <c:v>251.66670399999998</c:v>
                </c:pt>
                <c:pt idx="18">
                  <c:v>229.98821579246055</c:v>
                </c:pt>
                <c:pt idx="19">
                  <c:v>241.72063665115977</c:v>
                </c:pt>
                <c:pt idx="20">
                  <c:v>235.38043019571958</c:v>
                </c:pt>
                <c:pt idx="21">
                  <c:v>283.93937199999999</c:v>
                </c:pt>
                <c:pt idx="22">
                  <c:v>255.92503066606668</c:v>
                </c:pt>
                <c:pt idx="23">
                  <c:v>178.02133203826156</c:v>
                </c:pt>
                <c:pt idx="24">
                  <c:v>172.38272816028737</c:v>
                </c:pt>
                <c:pt idx="25">
                  <c:v>143</c:v>
                </c:pt>
                <c:pt idx="26">
                  <c:v>150.92000632672566</c:v>
                </c:pt>
                <c:pt idx="27">
                  <c:v>147.50185586468626</c:v>
                </c:pt>
                <c:pt idx="28">
                  <c:v>152.54903819923609</c:v>
                </c:pt>
                <c:pt idx="29">
                  <c:v>164</c:v>
                </c:pt>
                <c:pt idx="30">
                  <c:v>195.87148502702223</c:v>
                </c:pt>
              </c:numCache>
            </c:numRef>
          </c:val>
          <c:smooth val="0"/>
          <c:extLst>
            <c:ext xmlns:c16="http://schemas.microsoft.com/office/drawing/2014/chart" uri="{C3380CC4-5D6E-409C-BE32-E72D297353CC}">
              <c16:uniqueId val="{00000003-4BFE-446F-8193-1916728DE4F5}"/>
            </c:ext>
          </c:extLst>
        </c:ser>
        <c:dLbls>
          <c:showLegendKey val="0"/>
          <c:showVal val="0"/>
          <c:showCatName val="0"/>
          <c:showSerName val="0"/>
          <c:showPercent val="0"/>
          <c:showBubbleSize val="0"/>
        </c:dLbls>
        <c:marker val="1"/>
        <c:smooth val="0"/>
        <c:axId val="130388480"/>
        <c:axId val="130298368"/>
      </c:lineChart>
      <c:catAx>
        <c:axId val="1303884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298368"/>
        <c:crosses val="autoZero"/>
        <c:auto val="1"/>
        <c:lblAlgn val="ctr"/>
        <c:lblOffset val="100"/>
        <c:tickLblSkip val="3"/>
        <c:tickMarkSkip val="1"/>
        <c:noMultiLvlLbl val="0"/>
      </c:catAx>
      <c:valAx>
        <c:axId val="13029836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388480"/>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4464751958224543"/>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343146906520073E-2"/>
          <c:y val="6.7885117493472591E-2"/>
          <c:w val="0.80582651608407296"/>
          <c:h val="0.77545691906005221"/>
        </c:manualLayout>
      </c:layout>
      <c:lineChart>
        <c:grouping val="standard"/>
        <c:varyColors val="0"/>
        <c:ser>
          <c:idx val="0"/>
          <c:order val="0"/>
          <c:tx>
            <c:strRef>
              <c:f>MECS_Annual_Fuel1!$F$149</c:f>
              <c:strCache>
                <c:ptCount val="1"/>
                <c:pt idx="0">
                  <c:v>337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MECS_Annual_Fuel1!$G$148:$AM$148</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MECS_Annual_Fuel1!$G$149:$AM$149</c:f>
              <c:numCache>
                <c:formatCode>0.0</c:formatCode>
                <c:ptCount val="33"/>
                <c:pt idx="0">
                  <c:v>37.383822846973821</c:v>
                </c:pt>
                <c:pt idx="1">
                  <c:v>42.985850897299549</c:v>
                </c:pt>
                <c:pt idx="2">
                  <c:v>46.939987356383909</c:v>
                </c:pt>
                <c:pt idx="3">
                  <c:v>48.640156995919362</c:v>
                </c:pt>
                <c:pt idx="4">
                  <c:v>54.790411286187279</c:v>
                </c:pt>
                <c:pt idx="5">
                  <c:v>52.543324444208949</c:v>
                </c:pt>
                <c:pt idx="6">
                  <c:v>55.8843501953478</c:v>
                </c:pt>
                <c:pt idx="7">
                  <c:v>52.652898635297085</c:v>
                </c:pt>
                <c:pt idx="8">
                  <c:v>50.694628080839159</c:v>
                </c:pt>
                <c:pt idx="9">
                  <c:v>47.300771088826892</c:v>
                </c:pt>
                <c:pt idx="10">
                  <c:v>55.003014814745541</c:v>
                </c:pt>
                <c:pt idx="11">
                  <c:v>51.030768858049989</c:v>
                </c:pt>
                <c:pt idx="12">
                  <c:v>51.656782449462625</c:v>
                </c:pt>
                <c:pt idx="13">
                  <c:v>58.499848</c:v>
                </c:pt>
                <c:pt idx="14">
                  <c:v>60.507721609016151</c:v>
                </c:pt>
                <c:pt idx="15">
                  <c:v>50.020066867969469</c:v>
                </c:pt>
                <c:pt idx="16">
                  <c:v>42.856703444423736</c:v>
                </c:pt>
                <c:pt idx="17">
                  <c:v>38.904455999999996</c:v>
                </c:pt>
                <c:pt idx="18">
                  <c:v>29.433026608129488</c:v>
                </c:pt>
                <c:pt idx="19">
                  <c:v>28.467484332631365</c:v>
                </c:pt>
                <c:pt idx="20">
                  <c:v>26.177017904743494</c:v>
                </c:pt>
                <c:pt idx="21">
                  <c:v>28.391231999999999</c:v>
                </c:pt>
                <c:pt idx="22">
                  <c:v>27.714561877145339</c:v>
                </c:pt>
                <c:pt idx="23">
                  <c:v>21.906717243100903</c:v>
                </c:pt>
                <c:pt idx="24">
                  <c:v>22.324842479284005</c:v>
                </c:pt>
                <c:pt idx="25">
                  <c:v>19</c:v>
                </c:pt>
                <c:pt idx="26">
                  <c:v>19.114039343101386</c:v>
                </c:pt>
                <c:pt idx="27">
                  <c:v>20.810421304257442</c:v>
                </c:pt>
                <c:pt idx="28">
                  <c:v>19.613149087444253</c:v>
                </c:pt>
                <c:pt idx="29">
                  <c:v>20</c:v>
                </c:pt>
                <c:pt idx="30">
                  <c:v>30.305461091321359</c:v>
                </c:pt>
                <c:pt idx="31">
                  <c:v>33.128867471795822</c:v>
                </c:pt>
                <c:pt idx="32">
                  <c:v>28.943222007530053</c:v>
                </c:pt>
              </c:numCache>
            </c:numRef>
          </c:val>
          <c:smooth val="0"/>
          <c:extLst>
            <c:ext xmlns:c16="http://schemas.microsoft.com/office/drawing/2014/chart" uri="{C3380CC4-5D6E-409C-BE32-E72D297353CC}">
              <c16:uniqueId val="{00000000-05B5-4B44-8A0C-D371CCB01BFD}"/>
            </c:ext>
          </c:extLst>
        </c:ser>
        <c:ser>
          <c:idx val="1"/>
          <c:order val="1"/>
          <c:tx>
            <c:strRef>
              <c:f>MECS_Annual_Fuel1!$F$150</c:f>
              <c:strCache>
                <c:ptCount val="1"/>
                <c:pt idx="0">
                  <c:v>339</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MECS_Annual_Fuel1!$G$148:$AM$148</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MECS_Annual_Fuel1!$G$150:$AM$150</c:f>
              <c:numCache>
                <c:formatCode>0.0</c:formatCode>
                <c:ptCount val="33"/>
                <c:pt idx="0">
                  <c:v>33.863505680901589</c:v>
                </c:pt>
                <c:pt idx="1">
                  <c:v>39.628355216449528</c:v>
                </c:pt>
                <c:pt idx="2">
                  <c:v>43.311356676392833</c:v>
                </c:pt>
                <c:pt idx="3">
                  <c:v>45.434393503358493</c:v>
                </c:pt>
                <c:pt idx="4">
                  <c:v>41.18066817037402</c:v>
                </c:pt>
                <c:pt idx="5">
                  <c:v>38.691516089207084</c:v>
                </c:pt>
                <c:pt idx="6">
                  <c:v>34.793804965135031</c:v>
                </c:pt>
                <c:pt idx="7">
                  <c:v>38.845725201786685</c:v>
                </c:pt>
                <c:pt idx="8">
                  <c:v>43.649220105879621</c:v>
                </c:pt>
                <c:pt idx="9">
                  <c:v>48.376910834473634</c:v>
                </c:pt>
                <c:pt idx="10">
                  <c:v>54.003433472495793</c:v>
                </c:pt>
                <c:pt idx="11">
                  <c:v>44.191956365805062</c:v>
                </c:pt>
                <c:pt idx="12">
                  <c:v>42.319065802984603</c:v>
                </c:pt>
                <c:pt idx="13">
                  <c:v>47.700868</c:v>
                </c:pt>
                <c:pt idx="14">
                  <c:v>46.745155175063296</c:v>
                </c:pt>
                <c:pt idx="15">
                  <c:v>38.101014045070116</c:v>
                </c:pt>
                <c:pt idx="16">
                  <c:v>33.200659911387405</c:v>
                </c:pt>
                <c:pt idx="17">
                  <c:v>35.603912000000001</c:v>
                </c:pt>
                <c:pt idx="18">
                  <c:v>30.337702942254708</c:v>
                </c:pt>
                <c:pt idx="19">
                  <c:v>28.689353232890731</c:v>
                </c:pt>
                <c:pt idx="20">
                  <c:v>27.696006039892389</c:v>
                </c:pt>
                <c:pt idx="21">
                  <c:v>32.982075999999999</c:v>
                </c:pt>
                <c:pt idx="22">
                  <c:v>31.838460359608138</c:v>
                </c:pt>
                <c:pt idx="23">
                  <c:v>20.608192835341118</c:v>
                </c:pt>
                <c:pt idx="24">
                  <c:v>22.524890856185063</c:v>
                </c:pt>
                <c:pt idx="25">
                  <c:v>17</c:v>
                </c:pt>
                <c:pt idx="26">
                  <c:v>20.193387797529102</c:v>
                </c:pt>
                <c:pt idx="27">
                  <c:v>22.881220733375581</c:v>
                </c:pt>
                <c:pt idx="28">
                  <c:v>27.617340891758243</c:v>
                </c:pt>
                <c:pt idx="29">
                  <c:v>28</c:v>
                </c:pt>
                <c:pt idx="30">
                  <c:v>34.370638862344556</c:v>
                </c:pt>
                <c:pt idx="31">
                  <c:v>39.212485077900489</c:v>
                </c:pt>
                <c:pt idx="32">
                  <c:v>38.943663904859179</c:v>
                </c:pt>
              </c:numCache>
            </c:numRef>
          </c:val>
          <c:smooth val="0"/>
          <c:extLst>
            <c:ext xmlns:c16="http://schemas.microsoft.com/office/drawing/2014/chart" uri="{C3380CC4-5D6E-409C-BE32-E72D297353CC}">
              <c16:uniqueId val="{00000001-05B5-4B44-8A0C-D371CCB01BFD}"/>
            </c:ext>
          </c:extLst>
        </c:ser>
        <c:dLbls>
          <c:showLegendKey val="0"/>
          <c:showVal val="0"/>
          <c:showCatName val="0"/>
          <c:showSerName val="0"/>
          <c:showPercent val="0"/>
          <c:showBubbleSize val="0"/>
        </c:dLbls>
        <c:marker val="1"/>
        <c:smooth val="0"/>
        <c:axId val="130389504"/>
        <c:axId val="130300672"/>
      </c:lineChart>
      <c:catAx>
        <c:axId val="1303895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300672"/>
        <c:crosses val="autoZero"/>
        <c:auto val="1"/>
        <c:lblAlgn val="ctr"/>
        <c:lblOffset val="100"/>
        <c:tickLblSkip val="3"/>
        <c:tickMarkSkip val="1"/>
        <c:noMultiLvlLbl val="0"/>
      </c:catAx>
      <c:valAx>
        <c:axId val="130300672"/>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389504"/>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9947780678851175"/>
          <c:w val="9.7087548522454048E-2"/>
          <c:h val="0.1122715404699739"/>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96904386795209E-2"/>
          <c:y val="6.7885117493472591E-2"/>
          <c:w val="0.74271962024616367"/>
          <c:h val="0.77545691906005221"/>
        </c:manualLayout>
      </c:layout>
      <c:lineChart>
        <c:grouping val="standard"/>
        <c:varyColors val="0"/>
        <c:ser>
          <c:idx val="0"/>
          <c:order val="0"/>
          <c:tx>
            <c:strRef>
              <c:f>MECS_Annual_Fuel2!$F$51</c:f>
              <c:strCache>
                <c:ptCount val="1"/>
                <c:pt idx="0">
                  <c:v>311-312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MECS_Annual_Fuel2!$G$51:$AM$51</c:f>
              <c:numCache>
                <c:formatCode>General</c:formatCode>
                <c:ptCount val="33"/>
                <c:pt idx="0">
                  <c:v>814.40918409036976</c:v>
                </c:pt>
                <c:pt idx="1">
                  <c:v>805.87785924402021</c:v>
                </c:pt>
                <c:pt idx="2">
                  <c:v>849.6711482156627</c:v>
                </c:pt>
                <c:pt idx="3">
                  <c:v>851.12053122624513</c:v>
                </c:pt>
                <c:pt idx="4">
                  <c:v>839.61122980424602</c:v>
                </c:pt>
                <c:pt idx="5">
                  <c:v>824.13311855167171</c:v>
                </c:pt>
                <c:pt idx="6">
                  <c:v>809.67414956814787</c:v>
                </c:pt>
                <c:pt idx="7">
                  <c:v>886.22186855629877</c:v>
                </c:pt>
                <c:pt idx="8">
                  <c:v>980.28275595819161</c:v>
                </c:pt>
                <c:pt idx="9">
                  <c:v>1008.5825527109854</c:v>
                </c:pt>
                <c:pt idx="10">
                  <c:v>990.42888807712393</c:v>
                </c:pt>
                <c:pt idx="11">
                  <c:v>969.7290711626971</c:v>
                </c:pt>
                <c:pt idx="12">
                  <c:v>951.52846553880602</c:v>
                </c:pt>
                <c:pt idx="13">
                  <c:v>914.596452</c:v>
                </c:pt>
                <c:pt idx="14">
                  <c:v>893.43609159153425</c:v>
                </c:pt>
                <c:pt idx="15">
                  <c:v>941.86800307804378</c:v>
                </c:pt>
                <c:pt idx="16">
                  <c:v>1003.1312605484319</c:v>
                </c:pt>
                <c:pt idx="17">
                  <c:v>963.55408</c:v>
                </c:pt>
                <c:pt idx="18">
                  <c:v>927.49494613448371</c:v>
                </c:pt>
                <c:pt idx="19">
                  <c:v>1015.0297842600783</c:v>
                </c:pt>
                <c:pt idx="20">
                  <c:v>1036.2817239313119</c:v>
                </c:pt>
                <c:pt idx="21">
                  <c:v>1014.1992240000001</c:v>
                </c:pt>
                <c:pt idx="22">
                  <c:v>1003.218431381518</c:v>
                </c:pt>
                <c:pt idx="23">
                  <c:v>1059.6823076884609</c:v>
                </c:pt>
                <c:pt idx="24">
                  <c:v>964.53763429722051</c:v>
                </c:pt>
                <c:pt idx="25" formatCode="0.0">
                  <c:v>958</c:v>
                </c:pt>
                <c:pt idx="26">
                  <c:v>1031.1808451804641</c:v>
                </c:pt>
                <c:pt idx="27">
                  <c:v>921.07002027937654</c:v>
                </c:pt>
                <c:pt idx="28">
                  <c:v>906.73078377861361</c:v>
                </c:pt>
                <c:pt idx="29" formatCode="0.0">
                  <c:v>929</c:v>
                </c:pt>
                <c:pt idx="30" formatCode="0.0">
                  <c:v>889.04090124413779</c:v>
                </c:pt>
                <c:pt idx="31" formatCode="0.0">
                  <c:v>903.53304712888075</c:v>
                </c:pt>
                <c:pt idx="32" formatCode="0.0">
                  <c:v>892.09332001167968</c:v>
                </c:pt>
              </c:numCache>
            </c:numRef>
          </c:val>
          <c:smooth val="0"/>
          <c:extLst>
            <c:ext xmlns:c16="http://schemas.microsoft.com/office/drawing/2014/chart" uri="{C3380CC4-5D6E-409C-BE32-E72D297353CC}">
              <c16:uniqueId val="{00000000-BFAE-4D71-A368-6D6E3B4B2603}"/>
            </c:ext>
          </c:extLst>
        </c:ser>
        <c:ser>
          <c:idx val="1"/>
          <c:order val="1"/>
          <c:tx>
            <c:strRef>
              <c:f>MECS_Annual_Fuel2!$F$52</c:f>
              <c:strCache>
                <c:ptCount val="1"/>
                <c:pt idx="0">
                  <c:v>313-314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MECS_Annual_Fuel2!$G$52:$AM$52</c:f>
              <c:numCache>
                <c:formatCode>General</c:formatCode>
                <c:ptCount val="33"/>
                <c:pt idx="0">
                  <c:v>156.1414043262503</c:v>
                </c:pt>
                <c:pt idx="1">
                  <c:v>156.81946644885855</c:v>
                </c:pt>
                <c:pt idx="2">
                  <c:v>171.8729483968385</c:v>
                </c:pt>
                <c:pt idx="3">
                  <c:v>168.48905994885055</c:v>
                </c:pt>
                <c:pt idx="4">
                  <c:v>169.00383762175332</c:v>
                </c:pt>
                <c:pt idx="5">
                  <c:v>164.88747322512268</c:v>
                </c:pt>
                <c:pt idx="6">
                  <c:v>167.22964134569051</c:v>
                </c:pt>
                <c:pt idx="7">
                  <c:v>178.80910908050782</c:v>
                </c:pt>
                <c:pt idx="8">
                  <c:v>193.83030773270252</c:v>
                </c:pt>
                <c:pt idx="9">
                  <c:v>192.94392268146368</c:v>
                </c:pt>
                <c:pt idx="10">
                  <c:v>193.24129495531079</c:v>
                </c:pt>
                <c:pt idx="11">
                  <c:v>186.91499546626957</c:v>
                </c:pt>
                <c:pt idx="12">
                  <c:v>182.39733525718023</c:v>
                </c:pt>
                <c:pt idx="13">
                  <c:v>183.883668</c:v>
                </c:pt>
                <c:pt idx="14">
                  <c:v>184.67342246184486</c:v>
                </c:pt>
                <c:pt idx="15">
                  <c:v>175.64905650823243</c:v>
                </c:pt>
                <c:pt idx="16">
                  <c:v>168.5391508071167</c:v>
                </c:pt>
                <c:pt idx="17">
                  <c:v>161.77534800000001</c:v>
                </c:pt>
                <c:pt idx="18">
                  <c:v>166.98570222614092</c:v>
                </c:pt>
                <c:pt idx="19">
                  <c:v>175.25878946924223</c:v>
                </c:pt>
                <c:pt idx="20">
                  <c:v>180.8575283733627</c:v>
                </c:pt>
                <c:pt idx="21">
                  <c:v>164.407712</c:v>
                </c:pt>
                <c:pt idx="22">
                  <c:v>131.01963673692865</c:v>
                </c:pt>
                <c:pt idx="23">
                  <c:v>109.02298694623083</c:v>
                </c:pt>
                <c:pt idx="24">
                  <c:v>74.967247565849974</c:v>
                </c:pt>
                <c:pt idx="25" formatCode="0.0">
                  <c:v>62</c:v>
                </c:pt>
                <c:pt idx="26">
                  <c:v>67.475434841954012</c:v>
                </c:pt>
                <c:pt idx="27">
                  <c:v>64.520665212809618</c:v>
                </c:pt>
                <c:pt idx="28">
                  <c:v>68.584517026105416</c:v>
                </c:pt>
                <c:pt idx="29" formatCode="0.0">
                  <c:v>72</c:v>
                </c:pt>
                <c:pt idx="30" formatCode="0.0">
                  <c:v>67.297448026385894</c:v>
                </c:pt>
                <c:pt idx="31" formatCode="0.0">
                  <c:v>63.720576872171549</c:v>
                </c:pt>
                <c:pt idx="32" formatCode="0.0">
                  <c:v>59.573059576118609</c:v>
                </c:pt>
              </c:numCache>
            </c:numRef>
          </c:val>
          <c:smooth val="0"/>
          <c:extLst>
            <c:ext xmlns:c16="http://schemas.microsoft.com/office/drawing/2014/chart" uri="{C3380CC4-5D6E-409C-BE32-E72D297353CC}">
              <c16:uniqueId val="{00000001-BFAE-4D71-A368-6D6E3B4B2603}"/>
            </c:ext>
          </c:extLst>
        </c:ser>
        <c:ser>
          <c:idx val="2"/>
          <c:order val="2"/>
          <c:tx>
            <c:strRef>
              <c:f>MECS_Annual_Fuel2!$F$53</c:f>
              <c:strCache>
                <c:ptCount val="1"/>
                <c:pt idx="0">
                  <c:v>315-316</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MECS_Annual_Fuel2!$G$50:$AM$50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MECS_Annual_Fuel2!$G$53:$AM$53</c:f>
              <c:numCache>
                <c:formatCode>General</c:formatCode>
                <c:ptCount val="33"/>
                <c:pt idx="0">
                  <c:v>27.870927218965459</c:v>
                </c:pt>
                <c:pt idx="1">
                  <c:v>33.631593252843487</c:v>
                </c:pt>
                <c:pt idx="2">
                  <c:v>39.615552598854052</c:v>
                </c:pt>
                <c:pt idx="3">
                  <c:v>46.203934666809843</c:v>
                </c:pt>
                <c:pt idx="4">
                  <c:v>41.335996246698251</c:v>
                </c:pt>
                <c:pt idx="5">
                  <c:v>36.748781894154362</c:v>
                </c:pt>
                <c:pt idx="6">
                  <c:v>36.963147733447869</c:v>
                </c:pt>
                <c:pt idx="7">
                  <c:v>37.95122991416855</c:v>
                </c:pt>
                <c:pt idx="8">
                  <c:v>38.969253979153493</c:v>
                </c:pt>
                <c:pt idx="9">
                  <c:v>39.957336159874167</c:v>
                </c:pt>
                <c:pt idx="10">
                  <c:v>42.784075130240332</c:v>
                </c:pt>
                <c:pt idx="11">
                  <c:v>41.983935653390816</c:v>
                </c:pt>
                <c:pt idx="12">
                  <c:v>36.075824958364926</c:v>
                </c:pt>
                <c:pt idx="13">
                  <c:v>35.487055999999995</c:v>
                </c:pt>
                <c:pt idx="14">
                  <c:v>35.207811781512774</c:v>
                </c:pt>
                <c:pt idx="15">
                  <c:v>38.517516106102029</c:v>
                </c:pt>
                <c:pt idx="16">
                  <c:v>38.011221624353787</c:v>
                </c:pt>
                <c:pt idx="17">
                  <c:v>22.314752000000002</c:v>
                </c:pt>
                <c:pt idx="18">
                  <c:v>18.041416154475037</c:v>
                </c:pt>
                <c:pt idx="19">
                  <c:v>17.982706274995483</c:v>
                </c:pt>
                <c:pt idx="20">
                  <c:v>13.772810621563261</c:v>
                </c:pt>
                <c:pt idx="21">
                  <c:v>8.7224880000000002</c:v>
                </c:pt>
                <c:pt idx="22">
                  <c:v>5.8406535981034562</c:v>
                </c:pt>
                <c:pt idx="23">
                  <c:v>4.3935652006285961</c:v>
                </c:pt>
                <c:pt idx="24">
                  <c:v>3.1051374821196021</c:v>
                </c:pt>
                <c:pt idx="25" formatCode="0.0">
                  <c:v>3</c:v>
                </c:pt>
                <c:pt idx="26">
                  <c:v>3.0870100675593122</c:v>
                </c:pt>
                <c:pt idx="27">
                  <c:v>2.5355252526918068</c:v>
                </c:pt>
                <c:pt idx="28">
                  <c:v>2.7822744782525901</c:v>
                </c:pt>
                <c:pt idx="29" formatCode="0.0">
                  <c:v>3</c:v>
                </c:pt>
                <c:pt idx="30" formatCode="0.0">
                  <c:v>2.8570207715339491</c:v>
                </c:pt>
                <c:pt idx="31" formatCode="0.0">
                  <c:v>2.7356919694565347</c:v>
                </c:pt>
                <c:pt idx="32" formatCode="0.0">
                  <c:v>2.5042552102357565</c:v>
                </c:pt>
              </c:numCache>
            </c:numRef>
          </c:val>
          <c:smooth val="0"/>
          <c:extLst>
            <c:ext xmlns:c16="http://schemas.microsoft.com/office/drawing/2014/chart" uri="{C3380CC4-5D6E-409C-BE32-E72D297353CC}">
              <c16:uniqueId val="{00000002-BFAE-4D71-A368-6D6E3B4B2603}"/>
            </c:ext>
          </c:extLst>
        </c:ser>
        <c:ser>
          <c:idx val="3"/>
          <c:order val="3"/>
          <c:tx>
            <c:strRef>
              <c:f>MECS_Annual_Fuel2!$F$54</c:f>
              <c:strCache>
                <c:ptCount val="1"/>
                <c:pt idx="0">
                  <c:v>321</c:v>
                </c:pt>
              </c:strCache>
            </c:strRef>
          </c:tx>
          <c:cat>
            <c:numRef>
              <c:f>MECS_Annual_Fuel2!$G$50:$AM$50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MECS_Annual_Fuel2!$G$54:$AM$54</c:f>
              <c:numCache>
                <c:formatCode>General</c:formatCode>
                <c:ptCount val="33"/>
                <c:pt idx="0">
                  <c:v>248.79987339144392</c:v>
                </c:pt>
                <c:pt idx="1">
                  <c:v>257.9654171791114</c:v>
                </c:pt>
                <c:pt idx="2">
                  <c:v>295.94532242068425</c:v>
                </c:pt>
                <c:pt idx="3">
                  <c:v>302.60197307912358</c:v>
                </c:pt>
                <c:pt idx="4">
                  <c:v>304.57856043540056</c:v>
                </c:pt>
                <c:pt idx="5">
                  <c:v>309.21478262480241</c:v>
                </c:pt>
                <c:pt idx="6">
                  <c:v>314.83245355703338</c:v>
                </c:pt>
                <c:pt idx="7">
                  <c:v>311.44716992932456</c:v>
                </c:pt>
                <c:pt idx="8">
                  <c:v>322.80220909337817</c:v>
                </c:pt>
                <c:pt idx="9">
                  <c:v>319.45866435321039</c:v>
                </c:pt>
                <c:pt idx="10">
                  <c:v>347.60478066532323</c:v>
                </c:pt>
                <c:pt idx="11">
                  <c:v>370.12426401292805</c:v>
                </c:pt>
                <c:pt idx="12">
                  <c:v>405.61721992137211</c:v>
                </c:pt>
                <c:pt idx="13">
                  <c:v>431.76796000000002</c:v>
                </c:pt>
                <c:pt idx="14">
                  <c:v>419.08830196660148</c:v>
                </c:pt>
                <c:pt idx="15">
                  <c:v>386.73481876758336</c:v>
                </c:pt>
                <c:pt idx="16">
                  <c:v>333.59346446267381</c:v>
                </c:pt>
                <c:pt idx="17">
                  <c:v>303.39918</c:v>
                </c:pt>
                <c:pt idx="18">
                  <c:v>308.45863926815002</c:v>
                </c:pt>
                <c:pt idx="19">
                  <c:v>346.4297043524744</c:v>
                </c:pt>
                <c:pt idx="20">
                  <c:v>357.81020556147917</c:v>
                </c:pt>
                <c:pt idx="21">
                  <c:v>353.821124</c:v>
                </c:pt>
                <c:pt idx="22">
                  <c:v>353.17246133511139</c:v>
                </c:pt>
                <c:pt idx="23">
                  <c:v>369.09832862726574</c:v>
                </c:pt>
                <c:pt idx="24">
                  <c:v>340.8533318925015</c:v>
                </c:pt>
                <c:pt idx="25" formatCode="0.0">
                  <c:v>418</c:v>
                </c:pt>
                <c:pt idx="26">
                  <c:v>392.13892849651705</c:v>
                </c:pt>
                <c:pt idx="27">
                  <c:v>345.56699625739475</c:v>
                </c:pt>
                <c:pt idx="28">
                  <c:v>336.8269813938291</c:v>
                </c:pt>
                <c:pt idx="29" formatCode="0.0">
                  <c:v>311</c:v>
                </c:pt>
                <c:pt idx="30" formatCode="0.0">
                  <c:v>323.16183725171015</c:v>
                </c:pt>
                <c:pt idx="31" formatCode="0.0">
                  <c:v>318.51549703372802</c:v>
                </c:pt>
                <c:pt idx="32" formatCode="0.0">
                  <c:v>298.6518831234963</c:v>
                </c:pt>
              </c:numCache>
            </c:numRef>
          </c:val>
          <c:smooth val="0"/>
          <c:extLst>
            <c:ext xmlns:c16="http://schemas.microsoft.com/office/drawing/2014/chart" uri="{C3380CC4-5D6E-409C-BE32-E72D297353CC}">
              <c16:uniqueId val="{00000003-BFAE-4D71-A368-6D6E3B4B2603}"/>
            </c:ext>
          </c:extLst>
        </c:ser>
        <c:dLbls>
          <c:showLegendKey val="0"/>
          <c:showVal val="0"/>
          <c:showCatName val="0"/>
          <c:showSerName val="0"/>
          <c:showPercent val="0"/>
          <c:showBubbleSize val="0"/>
        </c:dLbls>
        <c:marker val="1"/>
        <c:smooth val="0"/>
        <c:axId val="130093056"/>
        <c:axId val="130581632"/>
      </c:lineChart>
      <c:catAx>
        <c:axId val="13009305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0581632"/>
        <c:crosses val="autoZero"/>
        <c:auto val="1"/>
        <c:lblAlgn val="ctr"/>
        <c:lblOffset val="100"/>
        <c:tickLblSkip val="2"/>
        <c:tickMarkSkip val="1"/>
        <c:noMultiLvlLbl val="0"/>
      </c:catAx>
      <c:valAx>
        <c:axId val="1305816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093056"/>
        <c:crosses val="autoZero"/>
        <c:crossBetween val="between"/>
      </c:valAx>
      <c:spPr>
        <a:solidFill>
          <a:srgbClr val="C0C0C0"/>
        </a:solidFill>
        <a:ln w="12700">
          <a:solidFill>
            <a:srgbClr val="808080"/>
          </a:solidFill>
          <a:prstDash val="solid"/>
        </a:ln>
      </c:spPr>
    </c:plotArea>
    <c:legend>
      <c:legendPos val="r"/>
      <c:layout>
        <c:manualLayout>
          <c:xMode val="edge"/>
          <c:yMode val="edge"/>
          <c:x val="0.84951592216021532"/>
          <c:y val="0.34464751958224543"/>
          <c:w val="0.13163978289121625"/>
          <c:h val="0.2136885891874482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96904386795209E-2"/>
          <c:y val="6.7885117493472591E-2"/>
          <c:w val="0.78317275860379787"/>
          <c:h val="0.77545691906005221"/>
        </c:manualLayout>
      </c:layout>
      <c:lineChart>
        <c:grouping val="standard"/>
        <c:varyColors val="0"/>
        <c:ser>
          <c:idx val="0"/>
          <c:order val="0"/>
          <c:tx>
            <c:strRef>
              <c:f>MECS_Annual_Fuel2!$F$75</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MECS_Annual_Fuel2!$G$75:$AM$75</c:f>
              <c:numCache>
                <c:formatCode>General</c:formatCode>
                <c:ptCount val="33"/>
                <c:pt idx="0">
                  <c:v>2017.3632372266716</c:v>
                </c:pt>
                <c:pt idx="1">
                  <c:v>2185.7420891092902</c:v>
                </c:pt>
                <c:pt idx="2">
                  <c:v>2167.9174255288149</c:v>
                </c:pt>
                <c:pt idx="3">
                  <c:v>2153.9562641132611</c:v>
                </c:pt>
                <c:pt idx="4">
                  <c:v>2213.0471422891374</c:v>
                </c:pt>
                <c:pt idx="5">
                  <c:v>2350.5908952008981</c:v>
                </c:pt>
                <c:pt idx="6">
                  <c:v>2267.2367478194155</c:v>
                </c:pt>
                <c:pt idx="7">
                  <c:v>2323.9149041441701</c:v>
                </c:pt>
                <c:pt idx="8">
                  <c:v>2422.306131810823</c:v>
                </c:pt>
                <c:pt idx="9">
                  <c:v>2406.5414497255788</c:v>
                </c:pt>
                <c:pt idx="10">
                  <c:v>2469.5193494741152</c:v>
                </c:pt>
                <c:pt idx="11">
                  <c:v>2433.386759999657</c:v>
                </c:pt>
                <c:pt idx="12">
                  <c:v>2419.8042180806001</c:v>
                </c:pt>
                <c:pt idx="13">
                  <c:v>2503.918032</c:v>
                </c:pt>
                <c:pt idx="14">
                  <c:v>2365.3738609324801</c:v>
                </c:pt>
                <c:pt idx="15">
                  <c:v>2379.1675428212411</c:v>
                </c:pt>
                <c:pt idx="16">
                  <c:v>2251.0650826608944</c:v>
                </c:pt>
                <c:pt idx="17">
                  <c:v>2137.503764</c:v>
                </c:pt>
                <c:pt idx="18">
                  <c:v>2136.2773725826887</c:v>
                </c:pt>
                <c:pt idx="19">
                  <c:v>2193.4125594876432</c:v>
                </c:pt>
                <c:pt idx="20">
                  <c:v>2213.1160558606671</c:v>
                </c:pt>
                <c:pt idx="21">
                  <c:v>2106.5685840000001</c:v>
                </c:pt>
                <c:pt idx="22">
                  <c:v>2150.1800317573543</c:v>
                </c:pt>
                <c:pt idx="23">
                  <c:v>1955.3043092340858</c:v>
                </c:pt>
                <c:pt idx="24">
                  <c:v>1858.2918324601335</c:v>
                </c:pt>
                <c:pt idx="25">
                  <c:v>1904</c:v>
                </c:pt>
                <c:pt idx="26">
                  <c:v>1947.0947983266572</c:v>
                </c:pt>
                <c:pt idx="27">
                  <c:v>1931.4279896091687</c:v>
                </c:pt>
                <c:pt idx="28">
                  <c:v>1858.5512267495544</c:v>
                </c:pt>
                <c:pt idx="29">
                  <c:v>1899</c:v>
                </c:pt>
                <c:pt idx="30">
                  <c:v>1943.5627767764981</c:v>
                </c:pt>
                <c:pt idx="31">
                  <c:v>1928.1742389513456</c:v>
                </c:pt>
                <c:pt idx="32">
                  <c:v>1799.6227304249944</c:v>
                </c:pt>
              </c:numCache>
            </c:numRef>
          </c:val>
          <c:smooth val="0"/>
          <c:extLst>
            <c:ext xmlns:c16="http://schemas.microsoft.com/office/drawing/2014/chart" uri="{C3380CC4-5D6E-409C-BE32-E72D297353CC}">
              <c16:uniqueId val="{00000000-77D0-48D3-AC54-17562DF16576}"/>
            </c:ext>
          </c:extLst>
        </c:ser>
        <c:ser>
          <c:idx val="1"/>
          <c:order val="1"/>
          <c:tx>
            <c:strRef>
              <c:f>MECS_Annual_Fuel2!$F$76</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MECS_Annual_Fuel2!$G$76:$AM$76</c:f>
              <c:numCache>
                <c:formatCode>General</c:formatCode>
                <c:ptCount val="33"/>
                <c:pt idx="0">
                  <c:v>26.699079874753146</c:v>
                </c:pt>
                <c:pt idx="1">
                  <c:v>29.673834822986024</c:v>
                </c:pt>
                <c:pt idx="2">
                  <c:v>34.872850055727547</c:v>
                </c:pt>
                <c:pt idx="3">
                  <c:v>40.089746346787351</c:v>
                </c:pt>
                <c:pt idx="4">
                  <c:v>39.472957001976042</c:v>
                </c:pt>
                <c:pt idx="5">
                  <c:v>40.115553512094927</c:v>
                </c:pt>
                <c:pt idx="6">
                  <c:v>38.576483481067747</c:v>
                </c:pt>
                <c:pt idx="7">
                  <c:v>38.249269868458356</c:v>
                </c:pt>
                <c:pt idx="8">
                  <c:v>39.117927782255769</c:v>
                </c:pt>
                <c:pt idx="9">
                  <c:v>37.113573244007682</c:v>
                </c:pt>
                <c:pt idx="10">
                  <c:v>39.956553539447306</c:v>
                </c:pt>
                <c:pt idx="11">
                  <c:v>41.969957276170064</c:v>
                </c:pt>
                <c:pt idx="12">
                  <c:v>44.230845172679878</c:v>
                </c:pt>
                <c:pt idx="13">
                  <c:v>47.004247999999997</c:v>
                </c:pt>
                <c:pt idx="14">
                  <c:v>47.240438646063247</c:v>
                </c:pt>
                <c:pt idx="15">
                  <c:v>49.877730982503209</c:v>
                </c:pt>
                <c:pt idx="16">
                  <c:v>49.290041522731229</c:v>
                </c:pt>
                <c:pt idx="17">
                  <c:v>47.795832000000004</c:v>
                </c:pt>
                <c:pt idx="18">
                  <c:v>44.805577596795843</c:v>
                </c:pt>
                <c:pt idx="19">
                  <c:v>47.724610919701639</c:v>
                </c:pt>
                <c:pt idx="20">
                  <c:v>44.771707788812314</c:v>
                </c:pt>
                <c:pt idx="21">
                  <c:v>40.374451999999998</c:v>
                </c:pt>
                <c:pt idx="22">
                  <c:v>39.680241781726473</c:v>
                </c:pt>
                <c:pt idx="23">
                  <c:v>41.635466330434035</c:v>
                </c:pt>
                <c:pt idx="24">
                  <c:v>35.798656495699362</c:v>
                </c:pt>
                <c:pt idx="25">
                  <c:v>36</c:v>
                </c:pt>
                <c:pt idx="26">
                  <c:v>37.239600146478182</c:v>
                </c:pt>
                <c:pt idx="27">
                  <c:v>37.047201548658769</c:v>
                </c:pt>
                <c:pt idx="28">
                  <c:v>38.731793265159865</c:v>
                </c:pt>
                <c:pt idx="29">
                  <c:v>40</c:v>
                </c:pt>
                <c:pt idx="30">
                  <c:v>39.208928328830737</c:v>
                </c:pt>
                <c:pt idx="31">
                  <c:v>38.773606562144806</c:v>
                </c:pt>
                <c:pt idx="32">
                  <c:v>32.416093334231064</c:v>
                </c:pt>
              </c:numCache>
            </c:numRef>
          </c:val>
          <c:smooth val="0"/>
          <c:extLst>
            <c:ext xmlns:c16="http://schemas.microsoft.com/office/drawing/2014/chart" uri="{C3380CC4-5D6E-409C-BE32-E72D297353CC}">
              <c16:uniqueId val="{00000001-77D0-48D3-AC54-17562DF16576}"/>
            </c:ext>
          </c:extLst>
        </c:ser>
        <c:ser>
          <c:idx val="2"/>
          <c:order val="2"/>
          <c:tx>
            <c:strRef>
              <c:f>MECS_Annual_Fuel2!$F$77</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MECS_Annual_Fuel2!$G$74:$AM$74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MECS_Annual_Fuel2!$G$77:$AM$77</c:f>
              <c:numCache>
                <c:formatCode>General</c:formatCode>
                <c:ptCount val="33"/>
                <c:pt idx="0">
                  <c:v>2519.6333802647096</c:v>
                </c:pt>
                <c:pt idx="1">
                  <c:v>2850.2471338482869</c:v>
                </c:pt>
                <c:pt idx="2">
                  <c:v>2753.6476622858058</c:v>
                </c:pt>
                <c:pt idx="3">
                  <c:v>3018.3157833208888</c:v>
                </c:pt>
                <c:pt idx="4">
                  <c:v>2965.3762841158969</c:v>
                </c:pt>
                <c:pt idx="5">
                  <c:v>2981.7236021574176</c:v>
                </c:pt>
                <c:pt idx="6">
                  <c:v>2884.3712617836486</c:v>
                </c:pt>
                <c:pt idx="7">
                  <c:v>2978.6197025599158</c:v>
                </c:pt>
                <c:pt idx="8">
                  <c:v>2970.8276442091383</c:v>
                </c:pt>
                <c:pt idx="9">
                  <c:v>3144.6947232151383</c:v>
                </c:pt>
                <c:pt idx="10">
                  <c:v>3318.3953852069985</c:v>
                </c:pt>
                <c:pt idx="11">
                  <c:v>3430.9762747528257</c:v>
                </c:pt>
                <c:pt idx="12">
                  <c:v>3465.1910244853348</c:v>
                </c:pt>
                <c:pt idx="13">
                  <c:v>3495.5546920000002</c:v>
                </c:pt>
                <c:pt idx="14">
                  <c:v>3559.9686790500004</c:v>
                </c:pt>
                <c:pt idx="15">
                  <c:v>3613.8718330000002</c:v>
                </c:pt>
                <c:pt idx="16">
                  <c:v>3494.7027549010036</c:v>
                </c:pt>
                <c:pt idx="17">
                  <c:v>3075.1213680000001</c:v>
                </c:pt>
                <c:pt idx="18">
                  <c:v>2986.514133005855</c:v>
                </c:pt>
                <c:pt idx="19">
                  <c:v>3077.7580838021422</c:v>
                </c:pt>
                <c:pt idx="20">
                  <c:v>3370.7901598183917</c:v>
                </c:pt>
                <c:pt idx="21">
                  <c:v>3259.0627920000002</c:v>
                </c:pt>
                <c:pt idx="22">
                  <c:v>3233.695904757873</c:v>
                </c:pt>
                <c:pt idx="23">
                  <c:v>3327.9701282444062</c:v>
                </c:pt>
                <c:pt idx="24">
                  <c:v>3130.9523370717566</c:v>
                </c:pt>
                <c:pt idx="25">
                  <c:v>3159</c:v>
                </c:pt>
                <c:pt idx="26">
                  <c:v>3259.7653584959421</c:v>
                </c:pt>
                <c:pt idx="27">
                  <c:v>3277.6362344421555</c:v>
                </c:pt>
                <c:pt idx="28">
                  <c:v>3255.8559654963292</c:v>
                </c:pt>
                <c:pt idx="29">
                  <c:v>3346</c:v>
                </c:pt>
                <c:pt idx="30">
                  <c:v>3331.2874631205109</c:v>
                </c:pt>
                <c:pt idx="31">
                  <c:v>3306.4003398237573</c:v>
                </c:pt>
                <c:pt idx="32">
                  <c:v>3535.4876338208101</c:v>
                </c:pt>
              </c:numCache>
            </c:numRef>
          </c:val>
          <c:smooth val="0"/>
          <c:extLst>
            <c:ext xmlns:c16="http://schemas.microsoft.com/office/drawing/2014/chart" uri="{C3380CC4-5D6E-409C-BE32-E72D297353CC}">
              <c16:uniqueId val="{00000002-77D0-48D3-AC54-17562DF16576}"/>
            </c:ext>
          </c:extLst>
        </c:ser>
        <c:ser>
          <c:idx val="3"/>
          <c:order val="3"/>
          <c:tx>
            <c:strRef>
              <c:f>MECS_Annual_Fuel2!$F$78</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MECS_Annual_Fuel2!$G$74:$AM$74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MECS_Annual_Fuel2!$G$78:$AM$78</c:f>
              <c:numCache>
                <c:formatCode>General</c:formatCode>
                <c:ptCount val="33"/>
                <c:pt idx="0">
                  <c:v>1982.3306729500532</c:v>
                </c:pt>
                <c:pt idx="1">
                  <c:v>2015.168144981348</c:v>
                </c:pt>
                <c:pt idx="2">
                  <c:v>2230.5058143667238</c:v>
                </c:pt>
                <c:pt idx="3">
                  <c:v>2425.2974275342949</c:v>
                </c:pt>
                <c:pt idx="4">
                  <c:v>2521.8421868716355</c:v>
                </c:pt>
                <c:pt idx="5">
                  <c:v>2717.7721792901602</c:v>
                </c:pt>
                <c:pt idx="6">
                  <c:v>2577.2858974832011</c:v>
                </c:pt>
                <c:pt idx="7">
                  <c:v>2624.9869434256652</c:v>
                </c:pt>
                <c:pt idx="8">
                  <c:v>2667.9116101083255</c:v>
                </c:pt>
                <c:pt idx="9">
                  <c:v>2729.1714558311169</c:v>
                </c:pt>
                <c:pt idx="10">
                  <c:v>2808.3801069250053</c:v>
                </c:pt>
                <c:pt idx="11">
                  <c:v>3060.7601437574108</c:v>
                </c:pt>
                <c:pt idx="12">
                  <c:v>3103.9541409155927</c:v>
                </c:pt>
                <c:pt idx="13">
                  <c:v>3126.5770039999998</c:v>
                </c:pt>
                <c:pt idx="14">
                  <c:v>3311.1447124275678</c:v>
                </c:pt>
                <c:pt idx="15">
                  <c:v>3451.1731051817164</c:v>
                </c:pt>
                <c:pt idx="16">
                  <c:v>3269.7219092965011</c:v>
                </c:pt>
                <c:pt idx="17">
                  <c:v>3246.609152</c:v>
                </c:pt>
                <c:pt idx="18">
                  <c:v>3278.8496369605023</c:v>
                </c:pt>
                <c:pt idx="19">
                  <c:v>3050.2080438901307</c:v>
                </c:pt>
                <c:pt idx="20">
                  <c:v>2799.0993758095683</c:v>
                </c:pt>
                <c:pt idx="21">
                  <c:v>2677.7578599999997</c:v>
                </c:pt>
                <c:pt idx="22">
                  <c:v>2824.531653445953</c:v>
                </c:pt>
                <c:pt idx="23">
                  <c:v>2808.6503129524704</c:v>
                </c:pt>
                <c:pt idx="24">
                  <c:v>2507.0190933838858</c:v>
                </c:pt>
                <c:pt idx="25">
                  <c:v>2772</c:v>
                </c:pt>
                <c:pt idx="26">
                  <c:v>2941.6767618815675</c:v>
                </c:pt>
                <c:pt idx="27">
                  <c:v>3059.4548171952733</c:v>
                </c:pt>
                <c:pt idx="28">
                  <c:v>3057.0989274103763</c:v>
                </c:pt>
                <c:pt idx="29">
                  <c:v>3069</c:v>
                </c:pt>
                <c:pt idx="30">
                  <c:v>3048.5593485076511</c:v>
                </c:pt>
                <c:pt idx="31">
                  <c:v>2898.1657328715528</c:v>
                </c:pt>
                <c:pt idx="32">
                  <c:v>2960.8493024765744</c:v>
                </c:pt>
              </c:numCache>
            </c:numRef>
          </c:val>
          <c:smooth val="0"/>
          <c:extLst>
            <c:ext xmlns:c16="http://schemas.microsoft.com/office/drawing/2014/chart" uri="{C3380CC4-5D6E-409C-BE32-E72D297353CC}">
              <c16:uniqueId val="{00000003-77D0-48D3-AC54-17562DF16576}"/>
            </c:ext>
          </c:extLst>
        </c:ser>
        <c:dLbls>
          <c:showLegendKey val="0"/>
          <c:showVal val="0"/>
          <c:showCatName val="0"/>
          <c:showSerName val="0"/>
          <c:showPercent val="0"/>
          <c:showBubbleSize val="0"/>
        </c:dLbls>
        <c:marker val="1"/>
        <c:smooth val="0"/>
        <c:axId val="130094592"/>
        <c:axId val="130584512"/>
      </c:lineChart>
      <c:catAx>
        <c:axId val="13009459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0584512"/>
        <c:crosses val="autoZero"/>
        <c:auto val="1"/>
        <c:lblAlgn val="ctr"/>
        <c:lblOffset val="100"/>
        <c:tickLblSkip val="2"/>
        <c:tickMarkSkip val="1"/>
        <c:noMultiLvlLbl val="0"/>
      </c:catAx>
      <c:valAx>
        <c:axId val="13058451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094592"/>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4464751958224543"/>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996904386795209E-2"/>
          <c:y val="6.7885117493472591E-2"/>
          <c:w val="0.78317275860379787"/>
          <c:h val="0.77545691906005221"/>
        </c:manualLayout>
      </c:layout>
      <c:lineChart>
        <c:grouping val="standard"/>
        <c:varyColors val="0"/>
        <c:ser>
          <c:idx val="0"/>
          <c:order val="0"/>
          <c:tx>
            <c:strRef>
              <c:f>MECS_Annual_Fuel2!$F$97</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MECS_Annual_Fuel2!$G$97:$AM$97</c:f>
              <c:numCache>
                <c:formatCode>General</c:formatCode>
                <c:ptCount val="33"/>
                <c:pt idx="0">
                  <c:v>128.43055874180072</c:v>
                </c:pt>
                <c:pt idx="1">
                  <c:v>133.84760516468384</c:v>
                </c:pt>
                <c:pt idx="2">
                  <c:v>142.45155951341272</c:v>
                </c:pt>
                <c:pt idx="3">
                  <c:v>150.36582650079393</c:v>
                </c:pt>
                <c:pt idx="4">
                  <c:v>143.26385529558047</c:v>
                </c:pt>
                <c:pt idx="5">
                  <c:v>139.2957383287027</c:v>
                </c:pt>
                <c:pt idx="6">
                  <c:v>125.61488437265322</c:v>
                </c:pt>
                <c:pt idx="7">
                  <c:v>132.92807190666201</c:v>
                </c:pt>
                <c:pt idx="8">
                  <c:v>145.81861444258848</c:v>
                </c:pt>
                <c:pt idx="9">
                  <c:v>141.58522460569185</c:v>
                </c:pt>
                <c:pt idx="10">
                  <c:v>143.24858507275479</c:v>
                </c:pt>
                <c:pt idx="11">
                  <c:v>149.70713400867646</c:v>
                </c:pt>
                <c:pt idx="12">
                  <c:v>148.05203066926589</c:v>
                </c:pt>
                <c:pt idx="13">
                  <c:v>144.39999600000002</c:v>
                </c:pt>
                <c:pt idx="14">
                  <c:v>155.50931366664574</c:v>
                </c:pt>
                <c:pt idx="15">
                  <c:v>163.26045037942168</c:v>
                </c:pt>
                <c:pt idx="16">
                  <c:v>167.35416280827747</c:v>
                </c:pt>
                <c:pt idx="17">
                  <c:v>166.54642800000002</c:v>
                </c:pt>
                <c:pt idx="18">
                  <c:v>160.20750099399646</c:v>
                </c:pt>
                <c:pt idx="19">
                  <c:v>171.5044087336351</c:v>
                </c:pt>
                <c:pt idx="20">
                  <c:v>166.09623462999605</c:v>
                </c:pt>
                <c:pt idx="21">
                  <c:v>153.785552</c:v>
                </c:pt>
                <c:pt idx="22">
                  <c:v>144.06196000379629</c:v>
                </c:pt>
                <c:pt idx="23">
                  <c:v>137.64430205404923</c:v>
                </c:pt>
                <c:pt idx="24">
                  <c:v>111.94272030024273</c:v>
                </c:pt>
                <c:pt idx="25">
                  <c:v>116</c:v>
                </c:pt>
                <c:pt idx="26">
                  <c:v>114.5728873428538</c:v>
                </c:pt>
                <c:pt idx="27">
                  <c:v>112.09663444240343</c:v>
                </c:pt>
                <c:pt idx="28">
                  <c:v>108.59187483607725</c:v>
                </c:pt>
                <c:pt idx="29">
                  <c:v>104</c:v>
                </c:pt>
                <c:pt idx="30">
                  <c:v>105.54109379227963</c:v>
                </c:pt>
                <c:pt idx="31">
                  <c:v>104.54255135676441</c:v>
                </c:pt>
                <c:pt idx="32">
                  <c:v>97.83997289750954</c:v>
                </c:pt>
              </c:numCache>
            </c:numRef>
          </c:val>
          <c:smooth val="0"/>
          <c:extLst>
            <c:ext xmlns:c16="http://schemas.microsoft.com/office/drawing/2014/chart" uri="{C3380CC4-5D6E-409C-BE32-E72D297353CC}">
              <c16:uniqueId val="{00000000-6B04-46E7-AABF-2E8CE30C8F8D}"/>
            </c:ext>
          </c:extLst>
        </c:ser>
        <c:ser>
          <c:idx val="1"/>
          <c:order val="1"/>
          <c:tx>
            <c:strRef>
              <c:f>MECS_Annual_Fuel2!$F$98</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MECS_Annual_Fuel2!$G$98:$AM$98</c:f>
              <c:numCache>
                <c:formatCode>General</c:formatCode>
                <c:ptCount val="33"/>
                <c:pt idx="0">
                  <c:v>791.01545520082436</c:v>
                </c:pt>
                <c:pt idx="1">
                  <c:v>820.21574298373901</c:v>
                </c:pt>
                <c:pt idx="2">
                  <c:v>864.25272072090831</c:v>
                </c:pt>
                <c:pt idx="3">
                  <c:v>884.64406029384702</c:v>
                </c:pt>
                <c:pt idx="4">
                  <c:v>846.73924465666107</c:v>
                </c:pt>
                <c:pt idx="5">
                  <c:v>824.6232998599811</c:v>
                </c:pt>
                <c:pt idx="6">
                  <c:v>788.81428212035598</c:v>
                </c:pt>
                <c:pt idx="7">
                  <c:v>806.45298986375963</c:v>
                </c:pt>
                <c:pt idx="8">
                  <c:v>829.45911055591841</c:v>
                </c:pt>
                <c:pt idx="9">
                  <c:v>822.05619657793363</c:v>
                </c:pt>
                <c:pt idx="10">
                  <c:v>831.4492867887202</c:v>
                </c:pt>
                <c:pt idx="11">
                  <c:v>839.46261031731456</c:v>
                </c:pt>
                <c:pt idx="12">
                  <c:v>830.41398281608042</c:v>
                </c:pt>
                <c:pt idx="13">
                  <c:v>834.98687599999994</c:v>
                </c:pt>
                <c:pt idx="14">
                  <c:v>877.55768478053301</c:v>
                </c:pt>
                <c:pt idx="15">
                  <c:v>904.78331395435282</c:v>
                </c:pt>
                <c:pt idx="16">
                  <c:v>911.66886900924635</c:v>
                </c:pt>
                <c:pt idx="17">
                  <c:v>910.76708400000007</c:v>
                </c:pt>
                <c:pt idx="18">
                  <c:v>896.47929577392085</c:v>
                </c:pt>
                <c:pt idx="19">
                  <c:v>956.78605808910106</c:v>
                </c:pt>
                <c:pt idx="20">
                  <c:v>979.05222277425401</c:v>
                </c:pt>
                <c:pt idx="21">
                  <c:v>958.36588800000004</c:v>
                </c:pt>
                <c:pt idx="22">
                  <c:v>918.94302467011028</c:v>
                </c:pt>
                <c:pt idx="23">
                  <c:v>832.01834698945288</c:v>
                </c:pt>
                <c:pt idx="24">
                  <c:v>622.95141825905012</c:v>
                </c:pt>
                <c:pt idx="25">
                  <c:v>600</c:v>
                </c:pt>
                <c:pt idx="26">
                  <c:v>623.89463196506142</c:v>
                </c:pt>
                <c:pt idx="27">
                  <c:v>644.7772659842351</c:v>
                </c:pt>
                <c:pt idx="28">
                  <c:v>663.64463007587403</c:v>
                </c:pt>
                <c:pt idx="29">
                  <c:v>699</c:v>
                </c:pt>
                <c:pt idx="30">
                  <c:v>720.05891819172143</c:v>
                </c:pt>
                <c:pt idx="31">
                  <c:v>723.78533975302594</c:v>
                </c:pt>
                <c:pt idx="32">
                  <c:v>713.76155007544855</c:v>
                </c:pt>
              </c:numCache>
            </c:numRef>
          </c:val>
          <c:smooth val="0"/>
          <c:extLst>
            <c:ext xmlns:c16="http://schemas.microsoft.com/office/drawing/2014/chart" uri="{C3380CC4-5D6E-409C-BE32-E72D297353CC}">
              <c16:uniqueId val="{00000001-6B04-46E7-AABF-2E8CE30C8F8D}"/>
            </c:ext>
          </c:extLst>
        </c:ser>
        <c:ser>
          <c:idx val="2"/>
          <c:order val="2"/>
          <c:tx>
            <c:strRef>
              <c:f>MECS_Annual_Fuel2!$F$99</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MECS_Annual_Fuel2!$G$96:$AM$96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MECS_Annual_Fuel2!$G$99:$AM$99</c:f>
              <c:numCache>
                <c:formatCode>General</c:formatCode>
                <c:ptCount val="33"/>
                <c:pt idx="0">
                  <c:v>1931.5726855408925</c:v>
                </c:pt>
                <c:pt idx="1">
                  <c:v>1805.7802120918529</c:v>
                </c:pt>
                <c:pt idx="2">
                  <c:v>1867.1971255253011</c:v>
                </c:pt>
                <c:pt idx="3">
                  <c:v>2134.8918237453663</c:v>
                </c:pt>
                <c:pt idx="4">
                  <c:v>2012.8905561212518</c:v>
                </c:pt>
                <c:pt idx="5">
                  <c:v>1909.4588165863522</c:v>
                </c:pt>
                <c:pt idx="6">
                  <c:v>1811.54797443144</c:v>
                </c:pt>
                <c:pt idx="7">
                  <c:v>1889.6726423006169</c:v>
                </c:pt>
                <c:pt idx="8">
                  <c:v>1940.9642984314207</c:v>
                </c:pt>
                <c:pt idx="9">
                  <c:v>2096.657607556745</c:v>
                </c:pt>
                <c:pt idx="10">
                  <c:v>2090.3737186035291</c:v>
                </c:pt>
                <c:pt idx="11">
                  <c:v>2151.9544910492323</c:v>
                </c:pt>
                <c:pt idx="12">
                  <c:v>2049.7360864321095</c:v>
                </c:pt>
                <c:pt idx="13">
                  <c:v>2031.356088</c:v>
                </c:pt>
                <c:pt idx="14">
                  <c:v>1979.0971174863726</c:v>
                </c:pt>
                <c:pt idx="15">
                  <c:v>1913.347390803626</c:v>
                </c:pt>
                <c:pt idx="16">
                  <c:v>1637.7794846195036</c:v>
                </c:pt>
                <c:pt idx="17">
                  <c:v>1629.9591760000001</c:v>
                </c:pt>
                <c:pt idx="18">
                  <c:v>1474.9035192685992</c:v>
                </c:pt>
                <c:pt idx="19">
                  <c:v>1433.4622576077199</c:v>
                </c:pt>
                <c:pt idx="20">
                  <c:v>1406.9952406132331</c:v>
                </c:pt>
                <c:pt idx="21">
                  <c:v>1285.6831</c:v>
                </c:pt>
                <c:pt idx="22">
                  <c:v>1375.7207200545015</c:v>
                </c:pt>
                <c:pt idx="23">
                  <c:v>1420.8650091404038</c:v>
                </c:pt>
                <c:pt idx="24">
                  <c:v>1083.9834985167681</c:v>
                </c:pt>
                <c:pt idx="25">
                  <c:v>1255</c:v>
                </c:pt>
                <c:pt idx="26">
                  <c:v>1445.9799984999161</c:v>
                </c:pt>
                <c:pt idx="27">
                  <c:v>1408.1293295618261</c:v>
                </c:pt>
                <c:pt idx="28">
                  <c:v>1292.5838548497866</c:v>
                </c:pt>
                <c:pt idx="29">
                  <c:v>1251</c:v>
                </c:pt>
                <c:pt idx="30">
                  <c:v>1224.0493553581957</c:v>
                </c:pt>
                <c:pt idx="31">
                  <c:v>1025.5862107176526</c:v>
                </c:pt>
                <c:pt idx="32">
                  <c:v>1023.2703637598183</c:v>
                </c:pt>
              </c:numCache>
            </c:numRef>
          </c:val>
          <c:smooth val="0"/>
          <c:extLst>
            <c:ext xmlns:c16="http://schemas.microsoft.com/office/drawing/2014/chart" uri="{C3380CC4-5D6E-409C-BE32-E72D297353CC}">
              <c16:uniqueId val="{00000002-6B04-46E7-AABF-2E8CE30C8F8D}"/>
            </c:ext>
          </c:extLst>
        </c:ser>
        <c:ser>
          <c:idx val="3"/>
          <c:order val="3"/>
          <c:tx>
            <c:strRef>
              <c:f>MECS_Annual_Fuel2!$F$100</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MECS_Annual_Fuel2!$G$96:$AM$96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MECS_Annual_Fuel2!$G$100:$AM$100</c:f>
              <c:numCache>
                <c:formatCode>General</c:formatCode>
                <c:ptCount val="33"/>
                <c:pt idx="0">
                  <c:v>218.6220851003327</c:v>
                </c:pt>
                <c:pt idx="1">
                  <c:v>211.46793122626133</c:v>
                </c:pt>
                <c:pt idx="2">
                  <c:v>240.91997523927262</c:v>
                </c:pt>
                <c:pt idx="3">
                  <c:v>251.14969713900282</c:v>
                </c:pt>
                <c:pt idx="4">
                  <c:v>241.18277568856524</c:v>
                </c:pt>
                <c:pt idx="5">
                  <c:v>232.7480721271657</c:v>
                </c:pt>
                <c:pt idx="6">
                  <c:v>217.28105279356296</c:v>
                </c:pt>
                <c:pt idx="7">
                  <c:v>229.87900221393122</c:v>
                </c:pt>
                <c:pt idx="8">
                  <c:v>252.15796059187429</c:v>
                </c:pt>
                <c:pt idx="9">
                  <c:v>263.57968281835372</c:v>
                </c:pt>
                <c:pt idx="10">
                  <c:v>266.52941665942734</c:v>
                </c:pt>
                <c:pt idx="11">
                  <c:v>266.15273924874344</c:v>
                </c:pt>
                <c:pt idx="12">
                  <c:v>267.76592061143197</c:v>
                </c:pt>
                <c:pt idx="13">
                  <c:v>265.28541200000001</c:v>
                </c:pt>
                <c:pt idx="14">
                  <c:v>273.29141435783782</c:v>
                </c:pt>
                <c:pt idx="15">
                  <c:v>275.42995232882038</c:v>
                </c:pt>
                <c:pt idx="16">
                  <c:v>262.49739365323751</c:v>
                </c:pt>
                <c:pt idx="17">
                  <c:v>226.21632399999999</c:v>
                </c:pt>
                <c:pt idx="18">
                  <c:v>225.40183295182362</c:v>
                </c:pt>
                <c:pt idx="19">
                  <c:v>253.25956503512833</c:v>
                </c:pt>
                <c:pt idx="20">
                  <c:v>263.47269179298661</c:v>
                </c:pt>
                <c:pt idx="21">
                  <c:v>253.81542000000002</c:v>
                </c:pt>
                <c:pt idx="22">
                  <c:v>225.8247089281079</c:v>
                </c:pt>
                <c:pt idx="23">
                  <c:v>225.90301651132506</c:v>
                </c:pt>
                <c:pt idx="24">
                  <c:v>169.65054112606632</c:v>
                </c:pt>
                <c:pt idx="25">
                  <c:v>174</c:v>
                </c:pt>
                <c:pt idx="26">
                  <c:v>193.42814378888048</c:v>
                </c:pt>
                <c:pt idx="27">
                  <c:v>186.00502457302662</c:v>
                </c:pt>
                <c:pt idx="28">
                  <c:v>194.42770583294933</c:v>
                </c:pt>
                <c:pt idx="29">
                  <c:v>201</c:v>
                </c:pt>
                <c:pt idx="30">
                  <c:v>198.38108949403755</c:v>
                </c:pt>
                <c:pt idx="31">
                  <c:v>192.24474079899031</c:v>
                </c:pt>
                <c:pt idx="32">
                  <c:v>183.36103025354547</c:v>
                </c:pt>
              </c:numCache>
            </c:numRef>
          </c:val>
          <c:smooth val="0"/>
          <c:extLst>
            <c:ext xmlns:c16="http://schemas.microsoft.com/office/drawing/2014/chart" uri="{C3380CC4-5D6E-409C-BE32-E72D297353CC}">
              <c16:uniqueId val="{00000003-6B04-46E7-AABF-2E8CE30C8F8D}"/>
            </c:ext>
          </c:extLst>
        </c:ser>
        <c:dLbls>
          <c:showLegendKey val="0"/>
          <c:showVal val="0"/>
          <c:showCatName val="0"/>
          <c:showSerName val="0"/>
          <c:showPercent val="0"/>
          <c:showBubbleSize val="0"/>
        </c:dLbls>
        <c:marker val="1"/>
        <c:smooth val="0"/>
        <c:axId val="130095616"/>
        <c:axId val="130587392"/>
      </c:lineChart>
      <c:catAx>
        <c:axId val="13009561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0587392"/>
        <c:crosses val="autoZero"/>
        <c:auto val="1"/>
        <c:lblAlgn val="ctr"/>
        <c:lblOffset val="100"/>
        <c:tickLblSkip val="2"/>
        <c:tickMarkSkip val="1"/>
        <c:noMultiLvlLbl val="0"/>
      </c:catAx>
      <c:valAx>
        <c:axId val="13058739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095616"/>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4464751958224543"/>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670025646657634E-2"/>
          <c:y val="6.7885117493472591E-2"/>
          <c:w val="0.79449963734393547"/>
          <c:h val="0.77545691906005221"/>
        </c:manualLayout>
      </c:layout>
      <c:lineChart>
        <c:grouping val="standard"/>
        <c:varyColors val="0"/>
        <c:ser>
          <c:idx val="0"/>
          <c:order val="0"/>
          <c:tx>
            <c:strRef>
              <c:f>MECS_Annual_Fuel2!$F$118</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2917</c:v>
                </c:pt>
              </c:numCache>
            </c:numRef>
          </c:cat>
          <c:val>
            <c:numRef>
              <c:f>MECS_Annual_Fuel2!$G$118:$AM$118</c:f>
              <c:numCache>
                <c:formatCode>General</c:formatCode>
                <c:ptCount val="33"/>
                <c:pt idx="0">
                  <c:v>118.55685257512636</c:v>
                </c:pt>
                <c:pt idx="1">
                  <c:v>116.98714978306386</c:v>
                </c:pt>
                <c:pt idx="2">
                  <c:v>132.05023472720444</c:v>
                </c:pt>
                <c:pt idx="3">
                  <c:v>138.88393804304263</c:v>
                </c:pt>
                <c:pt idx="4">
                  <c:v>132.91732711490641</c:v>
                </c:pt>
                <c:pt idx="5">
                  <c:v>128.97297637763342</c:v>
                </c:pt>
                <c:pt idx="6">
                  <c:v>113.47965946591772</c:v>
                </c:pt>
                <c:pt idx="7">
                  <c:v>110.70250083204449</c:v>
                </c:pt>
                <c:pt idx="8">
                  <c:v>109.43334905227904</c:v>
                </c:pt>
                <c:pt idx="9">
                  <c:v>112.92234511482371</c:v>
                </c:pt>
                <c:pt idx="10">
                  <c:v>113.29739747524695</c:v>
                </c:pt>
                <c:pt idx="11">
                  <c:v>113.4502406130739</c:v>
                </c:pt>
                <c:pt idx="12">
                  <c:v>117.23713567672351</c:v>
                </c:pt>
                <c:pt idx="13">
                  <c:v>116.85666400000001</c:v>
                </c:pt>
                <c:pt idx="14">
                  <c:v>111.14191772589813</c:v>
                </c:pt>
                <c:pt idx="15">
                  <c:v>112.3236890404506</c:v>
                </c:pt>
                <c:pt idx="16">
                  <c:v>106.23843340074862</c:v>
                </c:pt>
                <c:pt idx="17">
                  <c:v>91.191044000000005</c:v>
                </c:pt>
                <c:pt idx="18">
                  <c:v>85.205475557351576</c:v>
                </c:pt>
                <c:pt idx="19">
                  <c:v>94.248781567234332</c:v>
                </c:pt>
                <c:pt idx="20">
                  <c:v>95.608722533186722</c:v>
                </c:pt>
                <c:pt idx="21">
                  <c:v>93.471671999999998</c:v>
                </c:pt>
                <c:pt idx="22">
                  <c:v>94.334403800648914</c:v>
                </c:pt>
                <c:pt idx="23">
                  <c:v>94.429918479184096</c:v>
                </c:pt>
                <c:pt idx="24">
                  <c:v>76.003760495764595</c:v>
                </c:pt>
                <c:pt idx="25">
                  <c:v>78</c:v>
                </c:pt>
                <c:pt idx="26">
                  <c:v>85.458880818563429</c:v>
                </c:pt>
                <c:pt idx="27">
                  <c:v>81.030584847714223</c:v>
                </c:pt>
                <c:pt idx="28">
                  <c:v>82.213031813224148</c:v>
                </c:pt>
                <c:pt idx="29">
                  <c:v>84</c:v>
                </c:pt>
                <c:pt idx="30">
                  <c:v>81.531501178894231</c:v>
                </c:pt>
                <c:pt idx="31">
                  <c:v>80.273406572215322</c:v>
                </c:pt>
                <c:pt idx="32">
                  <c:v>77.461951769105639</c:v>
                </c:pt>
              </c:numCache>
            </c:numRef>
          </c:val>
          <c:smooth val="0"/>
          <c:extLst>
            <c:ext xmlns:c16="http://schemas.microsoft.com/office/drawing/2014/chart" uri="{C3380CC4-5D6E-409C-BE32-E72D297353CC}">
              <c16:uniqueId val="{00000000-C7C4-4C9A-AC98-810F26F4EA61}"/>
            </c:ext>
          </c:extLst>
        </c:ser>
        <c:ser>
          <c:idx val="1"/>
          <c:order val="1"/>
          <c:tx>
            <c:strRef>
              <c:f>MECS_Annual_Fuel2!$F$119</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2917</c:v>
                </c:pt>
              </c:numCache>
            </c:numRef>
          </c:cat>
          <c:val>
            <c:numRef>
              <c:f>MECS_Annual_Fuel2!$G$119:$AM$119</c:f>
              <c:numCache>
                <c:formatCode>General</c:formatCode>
                <c:ptCount val="33"/>
                <c:pt idx="0">
                  <c:v>54.789455724294967</c:v>
                </c:pt>
                <c:pt idx="1">
                  <c:v>57.303111896000885</c:v>
                </c:pt>
                <c:pt idx="2">
                  <c:v>61.351387822089904</c:v>
                </c:pt>
                <c:pt idx="3">
                  <c:v>62.693189717341816</c:v>
                </c:pt>
                <c:pt idx="4">
                  <c:v>61.085707701967216</c:v>
                </c:pt>
                <c:pt idx="5">
                  <c:v>60.680320651913654</c:v>
                </c:pt>
                <c:pt idx="6">
                  <c:v>56.220714404637988</c:v>
                </c:pt>
                <c:pt idx="7">
                  <c:v>59.136342825767187</c:v>
                </c:pt>
                <c:pt idx="8">
                  <c:v>62.414538336240533</c:v>
                </c:pt>
                <c:pt idx="9">
                  <c:v>66.930484972733723</c:v>
                </c:pt>
                <c:pt idx="10">
                  <c:v>67.095586301614247</c:v>
                </c:pt>
                <c:pt idx="11">
                  <c:v>67.556433090372835</c:v>
                </c:pt>
                <c:pt idx="12">
                  <c:v>68.545245680475773</c:v>
                </c:pt>
                <c:pt idx="13">
                  <c:v>67.813715999999999</c:v>
                </c:pt>
                <c:pt idx="14">
                  <c:v>68.034519531803099</c:v>
                </c:pt>
                <c:pt idx="15">
                  <c:v>76.501244355034032</c:v>
                </c:pt>
                <c:pt idx="16">
                  <c:v>76.93191460656567</c:v>
                </c:pt>
                <c:pt idx="17">
                  <c:v>69.142976000000004</c:v>
                </c:pt>
                <c:pt idx="18">
                  <c:v>63.618858062254837</c:v>
                </c:pt>
                <c:pt idx="19">
                  <c:v>59.320993032324388</c:v>
                </c:pt>
                <c:pt idx="20">
                  <c:v>52.984473624325041</c:v>
                </c:pt>
                <c:pt idx="21">
                  <c:v>47.139291999999998</c:v>
                </c:pt>
                <c:pt idx="22">
                  <c:v>47.831654822291256</c:v>
                </c:pt>
                <c:pt idx="23">
                  <c:v>48.676765381324309</c:v>
                </c:pt>
                <c:pt idx="24">
                  <c:v>44.267491340198113</c:v>
                </c:pt>
                <c:pt idx="25">
                  <c:v>43</c:v>
                </c:pt>
                <c:pt idx="26">
                  <c:v>39.18390387793977</c:v>
                </c:pt>
                <c:pt idx="27">
                  <c:v>53.598385805333585</c:v>
                </c:pt>
                <c:pt idx="28">
                  <c:v>44.586580263967242</c:v>
                </c:pt>
                <c:pt idx="29">
                  <c:v>50</c:v>
                </c:pt>
                <c:pt idx="30">
                  <c:v>53.638764378992477</c:v>
                </c:pt>
                <c:pt idx="31">
                  <c:v>54.963539197924007</c:v>
                </c:pt>
                <c:pt idx="32">
                  <c:v>53.697786362207289</c:v>
                </c:pt>
              </c:numCache>
            </c:numRef>
          </c:val>
          <c:smooth val="0"/>
          <c:extLst>
            <c:ext xmlns:c16="http://schemas.microsoft.com/office/drawing/2014/chart" uri="{C3380CC4-5D6E-409C-BE32-E72D297353CC}">
              <c16:uniqueId val="{00000001-C7C4-4C9A-AC98-810F26F4EA61}"/>
            </c:ext>
          </c:extLst>
        </c:ser>
        <c:ser>
          <c:idx val="2"/>
          <c:order val="2"/>
          <c:tx>
            <c:strRef>
              <c:f>MECS_Annual_Fuel2!$F$120</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MECS_Annual_Fuel2!$G$117:$AM$117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2917</c:v>
                </c:pt>
              </c:numCache>
            </c:numRef>
          </c:cat>
          <c:val>
            <c:numRef>
              <c:f>MECS_Annual_Fuel2!$G$120:$AM$120</c:f>
              <c:numCache>
                <c:formatCode>General</c:formatCode>
                <c:ptCount val="33"/>
                <c:pt idx="0">
                  <c:v>62.919467623803939</c:v>
                </c:pt>
                <c:pt idx="1">
                  <c:v>62.283777375903881</c:v>
                </c:pt>
                <c:pt idx="2">
                  <c:v>64.15706000876547</c:v>
                </c:pt>
                <c:pt idx="3">
                  <c:v>64.55717435203718</c:v>
                </c:pt>
                <c:pt idx="4">
                  <c:v>61.694103271764547</c:v>
                </c:pt>
                <c:pt idx="5">
                  <c:v>60.035246020404799</c:v>
                </c:pt>
                <c:pt idx="6">
                  <c:v>55.611292613491038</c:v>
                </c:pt>
                <c:pt idx="7">
                  <c:v>58.722096184269233</c:v>
                </c:pt>
                <c:pt idx="8">
                  <c:v>63.598151042354196</c:v>
                </c:pt>
                <c:pt idx="9">
                  <c:v>67.848599515192888</c:v>
                </c:pt>
                <c:pt idx="10">
                  <c:v>66.661965507217573</c:v>
                </c:pt>
                <c:pt idx="11">
                  <c:v>64.493881405582243</c:v>
                </c:pt>
                <c:pt idx="12">
                  <c:v>64.384523139479242</c:v>
                </c:pt>
                <c:pt idx="13">
                  <c:v>60.671008</c:v>
                </c:pt>
                <c:pt idx="14">
                  <c:v>61.278694478968518</c:v>
                </c:pt>
                <c:pt idx="15">
                  <c:v>62.734981192081634</c:v>
                </c:pt>
                <c:pt idx="16">
                  <c:v>61.421876655289154</c:v>
                </c:pt>
                <c:pt idx="17">
                  <c:v>55.569788000000003</c:v>
                </c:pt>
                <c:pt idx="18">
                  <c:v>50.484928017926073</c:v>
                </c:pt>
                <c:pt idx="19">
                  <c:v>48.906279751259603</c:v>
                </c:pt>
                <c:pt idx="20">
                  <c:v>46.84281218060395</c:v>
                </c:pt>
                <c:pt idx="21">
                  <c:v>43.097796000000002</c:v>
                </c:pt>
                <c:pt idx="22">
                  <c:v>45.159102734737374</c:v>
                </c:pt>
                <c:pt idx="23">
                  <c:v>44.34297491597448</c:v>
                </c:pt>
                <c:pt idx="24">
                  <c:v>35.887808772514582</c:v>
                </c:pt>
                <c:pt idx="25">
                  <c:v>38</c:v>
                </c:pt>
                <c:pt idx="26">
                  <c:v>40.364245616383492</c:v>
                </c:pt>
                <c:pt idx="27">
                  <c:v>37.93210879610546</c:v>
                </c:pt>
                <c:pt idx="28">
                  <c:v>33.77570078168521</c:v>
                </c:pt>
                <c:pt idx="29">
                  <c:v>31</c:v>
                </c:pt>
                <c:pt idx="30">
                  <c:v>30.984416407924904</c:v>
                </c:pt>
                <c:pt idx="31">
                  <c:v>29.598730565476735</c:v>
                </c:pt>
                <c:pt idx="32">
                  <c:v>27.128736999693942</c:v>
                </c:pt>
              </c:numCache>
            </c:numRef>
          </c:val>
          <c:smooth val="0"/>
          <c:extLst>
            <c:ext xmlns:c16="http://schemas.microsoft.com/office/drawing/2014/chart" uri="{C3380CC4-5D6E-409C-BE32-E72D297353CC}">
              <c16:uniqueId val="{00000002-C7C4-4C9A-AC98-810F26F4EA61}"/>
            </c:ext>
          </c:extLst>
        </c:ser>
        <c:ser>
          <c:idx val="3"/>
          <c:order val="3"/>
          <c:tx>
            <c:strRef>
              <c:f>MECS_Annual_Fuel2!$F$121</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MECS_Annual_Fuel2!$G$117:$AM$117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2917</c:v>
                </c:pt>
              </c:numCache>
            </c:numRef>
          </c:cat>
          <c:val>
            <c:numRef>
              <c:f>MECS_Annual_Fuel2!$G$121:$AM$121</c:f>
              <c:numCache>
                <c:formatCode>General</c:formatCode>
                <c:ptCount val="33"/>
                <c:pt idx="0">
                  <c:v>234.98001273849101</c:v>
                </c:pt>
                <c:pt idx="1">
                  <c:v>233.49457897097713</c:v>
                </c:pt>
                <c:pt idx="2">
                  <c:v>239.65530302767775</c:v>
                </c:pt>
                <c:pt idx="3">
                  <c:v>254.78050349600764</c:v>
                </c:pt>
                <c:pt idx="4">
                  <c:v>250.35553411998833</c:v>
                </c:pt>
                <c:pt idx="5">
                  <c:v>250.25347105331275</c:v>
                </c:pt>
                <c:pt idx="6">
                  <c:v>244.13057132985355</c:v>
                </c:pt>
                <c:pt idx="7">
                  <c:v>252.15956298972819</c:v>
                </c:pt>
                <c:pt idx="8">
                  <c:v>266.15910279294047</c:v>
                </c:pt>
                <c:pt idx="9">
                  <c:v>260.23443301298028</c:v>
                </c:pt>
                <c:pt idx="10">
                  <c:v>268.13385415129153</c:v>
                </c:pt>
                <c:pt idx="11">
                  <c:v>269.15888392998517</c:v>
                </c:pt>
                <c:pt idx="12">
                  <c:v>299.60200027902334</c:v>
                </c:pt>
                <c:pt idx="13">
                  <c:v>292.75512400000002</c:v>
                </c:pt>
                <c:pt idx="14">
                  <c:v>288.60804189539977</c:v>
                </c:pt>
                <c:pt idx="15">
                  <c:v>283.80950178623908</c:v>
                </c:pt>
                <c:pt idx="16">
                  <c:v>275.19572342939011</c:v>
                </c:pt>
                <c:pt idx="17">
                  <c:v>251.66670399999998</c:v>
                </c:pt>
                <c:pt idx="18">
                  <c:v>251.87823010168896</c:v>
                </c:pt>
                <c:pt idx="19">
                  <c:v>277.32354215323386</c:v>
                </c:pt>
                <c:pt idx="20">
                  <c:v>288.06533817652706</c:v>
                </c:pt>
                <c:pt idx="21">
                  <c:v>283.93937199999999</c:v>
                </c:pt>
                <c:pt idx="22">
                  <c:v>259.44427704656505</c:v>
                </c:pt>
                <c:pt idx="23">
                  <c:v>220.88103591216688</c:v>
                </c:pt>
                <c:pt idx="24">
                  <c:v>147.5600612979587</c:v>
                </c:pt>
                <c:pt idx="25">
                  <c:v>143</c:v>
                </c:pt>
                <c:pt idx="26">
                  <c:v>160.71893682310198</c:v>
                </c:pt>
                <c:pt idx="27">
                  <c:v>159.53612482859435</c:v>
                </c:pt>
                <c:pt idx="28">
                  <c:v>159.6545724921302</c:v>
                </c:pt>
                <c:pt idx="29">
                  <c:v>164</c:v>
                </c:pt>
                <c:pt idx="30">
                  <c:v>171.28909795159873</c:v>
                </c:pt>
                <c:pt idx="31">
                  <c:v>176.01164499656809</c:v>
                </c:pt>
                <c:pt idx="32">
                  <c:v>164.14160553703283</c:v>
                </c:pt>
              </c:numCache>
            </c:numRef>
          </c:val>
          <c:smooth val="0"/>
          <c:extLst>
            <c:ext xmlns:c16="http://schemas.microsoft.com/office/drawing/2014/chart" uri="{C3380CC4-5D6E-409C-BE32-E72D297353CC}">
              <c16:uniqueId val="{00000003-C7C4-4C9A-AC98-810F26F4EA61}"/>
            </c:ext>
          </c:extLst>
        </c:ser>
        <c:dLbls>
          <c:showLegendKey val="0"/>
          <c:showVal val="0"/>
          <c:showCatName val="0"/>
          <c:showSerName val="0"/>
          <c:showPercent val="0"/>
          <c:showBubbleSize val="0"/>
        </c:dLbls>
        <c:marker val="1"/>
        <c:smooth val="0"/>
        <c:axId val="129990656"/>
        <c:axId val="129917504"/>
      </c:lineChart>
      <c:catAx>
        <c:axId val="12999065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29917504"/>
        <c:crosses val="autoZero"/>
        <c:auto val="1"/>
        <c:lblAlgn val="ctr"/>
        <c:lblOffset val="100"/>
        <c:tickLblSkip val="2"/>
        <c:tickMarkSkip val="1"/>
        <c:noMultiLvlLbl val="0"/>
      </c:catAx>
      <c:valAx>
        <c:axId val="12991750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990656"/>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4464751958224543"/>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343146906520073E-2"/>
          <c:y val="6.7885117493472591E-2"/>
          <c:w val="0.80582651608407296"/>
          <c:h val="0.77545691906005221"/>
        </c:manualLayout>
      </c:layout>
      <c:lineChart>
        <c:grouping val="standard"/>
        <c:varyColors val="0"/>
        <c:ser>
          <c:idx val="0"/>
          <c:order val="0"/>
          <c:tx>
            <c:strRef>
              <c:f>MECS_Annual_Fuel2!$F$149</c:f>
              <c:strCache>
                <c:ptCount val="1"/>
                <c:pt idx="0">
                  <c:v>337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MECS_Annual_Fuel2!$G$148:$AJ$148</c:f>
              <c:numCache>
                <c:formatCode>General</c:formatCode>
                <c:ptCount val="30"/>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numCache>
            </c:numRef>
          </c:cat>
          <c:val>
            <c:numRef>
              <c:f>MECS_Annual_Fuel2!$G$149:$AJ$149</c:f>
              <c:numCache>
                <c:formatCode>General</c:formatCode>
                <c:ptCount val="30"/>
                <c:pt idx="0">
                  <c:v>37.383822846973821</c:v>
                </c:pt>
                <c:pt idx="1">
                  <c:v>37.443558459499911</c:v>
                </c:pt>
                <c:pt idx="2">
                  <c:v>44.134979818462696</c:v>
                </c:pt>
                <c:pt idx="3">
                  <c:v>48.640156995919362</c:v>
                </c:pt>
                <c:pt idx="4">
                  <c:v>51.878254348091929</c:v>
                </c:pt>
                <c:pt idx="5">
                  <c:v>54.223695770453325</c:v>
                </c:pt>
                <c:pt idx="6">
                  <c:v>55.8843501953478</c:v>
                </c:pt>
                <c:pt idx="7">
                  <c:v>53.610241526416303</c:v>
                </c:pt>
                <c:pt idx="8">
                  <c:v>53.538120715934923</c:v>
                </c:pt>
                <c:pt idx="9">
                  <c:v>47.300771088826892</c:v>
                </c:pt>
                <c:pt idx="10">
                  <c:v>49.933962080087383</c:v>
                </c:pt>
                <c:pt idx="11">
                  <c:v>51.03943583794306</c:v>
                </c:pt>
                <c:pt idx="12">
                  <c:v>57.492608473251913</c:v>
                </c:pt>
                <c:pt idx="13">
                  <c:v>58.499848</c:v>
                </c:pt>
                <c:pt idx="14">
                  <c:v>53.713217938449027</c:v>
                </c:pt>
                <c:pt idx="15">
                  <c:v>51.636294349193435</c:v>
                </c:pt>
                <c:pt idx="16">
                  <c:v>44.281857261978708</c:v>
                </c:pt>
                <c:pt idx="17">
                  <c:v>38.904455999999996</c:v>
                </c:pt>
                <c:pt idx="18">
                  <c:v>35.141046297568252</c:v>
                </c:pt>
                <c:pt idx="19">
                  <c:v>37.586736455066877</c:v>
                </c:pt>
                <c:pt idx="20">
                  <c:v>33.037018769628489</c:v>
                </c:pt>
                <c:pt idx="21">
                  <c:v>28.391231999999999</c:v>
                </c:pt>
                <c:pt idx="22">
                  <c:v>26.126543559878453</c:v>
                </c:pt>
                <c:pt idx="23">
                  <c:v>25.182564091959538</c:v>
                </c:pt>
                <c:pt idx="24">
                  <c:v>18.959175048440578</c:v>
                </c:pt>
                <c:pt idx="25">
                  <c:v>19</c:v>
                </c:pt>
                <c:pt idx="26">
                  <c:v>19.042697726452193</c:v>
                </c:pt>
                <c:pt idx="27">
                  <c:v>18.112553964096406</c:v>
                </c:pt>
                <c:pt idx="28">
                  <c:v>19.463019993779522</c:v>
                </c:pt>
                <c:pt idx="29">
                  <c:v>20</c:v>
                </c:pt>
              </c:numCache>
            </c:numRef>
          </c:val>
          <c:smooth val="0"/>
          <c:extLst>
            <c:ext xmlns:c16="http://schemas.microsoft.com/office/drawing/2014/chart" uri="{C3380CC4-5D6E-409C-BE32-E72D297353CC}">
              <c16:uniqueId val="{00000000-DB3F-4A55-B16E-2E0767A5E014}"/>
            </c:ext>
          </c:extLst>
        </c:ser>
        <c:ser>
          <c:idx val="1"/>
          <c:order val="1"/>
          <c:tx>
            <c:strRef>
              <c:f>MECS_Annual_Fuel2!$F$150</c:f>
              <c:strCache>
                <c:ptCount val="1"/>
                <c:pt idx="0">
                  <c:v>339</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MECS_Annual_Fuel2!$G$148:$AJ$148</c:f>
              <c:numCache>
                <c:formatCode>General</c:formatCode>
                <c:ptCount val="30"/>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numCache>
            </c:numRef>
          </c:cat>
          <c:val>
            <c:numRef>
              <c:f>MECS_Annual_Fuel2!$G$150:$AJ$150</c:f>
              <c:numCache>
                <c:formatCode>General</c:formatCode>
                <c:ptCount val="30"/>
                <c:pt idx="0">
                  <c:v>33.863505680901589</c:v>
                </c:pt>
                <c:pt idx="1">
                  <c:v>34.19538370920494</c:v>
                </c:pt>
                <c:pt idx="2">
                  <c:v>44.247956661323812</c:v>
                </c:pt>
                <c:pt idx="3">
                  <c:v>45.434393503358493</c:v>
                </c:pt>
                <c:pt idx="4">
                  <c:v>42.437431591215379</c:v>
                </c:pt>
                <c:pt idx="5">
                  <c:v>41.765597208998628</c:v>
                </c:pt>
                <c:pt idx="6">
                  <c:v>34.793804965135031</c:v>
                </c:pt>
                <c:pt idx="7">
                  <c:v>38.559674523708956</c:v>
                </c:pt>
                <c:pt idx="8">
                  <c:v>44.932421712612715</c:v>
                </c:pt>
                <c:pt idx="9">
                  <c:v>48.376910834473634</c:v>
                </c:pt>
                <c:pt idx="10">
                  <c:v>49.815836342825335</c:v>
                </c:pt>
                <c:pt idx="11">
                  <c:v>48.603520435196003</c:v>
                </c:pt>
                <c:pt idx="12">
                  <c:v>48.207720360170626</c:v>
                </c:pt>
                <c:pt idx="13">
                  <c:v>47.700868</c:v>
                </c:pt>
                <c:pt idx="14">
                  <c:v>44.144083628013298</c:v>
                </c:pt>
                <c:pt idx="15">
                  <c:v>43.160736797831376</c:v>
                </c:pt>
                <c:pt idx="16">
                  <c:v>40.871228778204937</c:v>
                </c:pt>
                <c:pt idx="17">
                  <c:v>35.603912000000001</c:v>
                </c:pt>
                <c:pt idx="18">
                  <c:v>34.156235730009286</c:v>
                </c:pt>
                <c:pt idx="19">
                  <c:v>37.943434675810046</c:v>
                </c:pt>
                <c:pt idx="20">
                  <c:v>35.952347860876394</c:v>
                </c:pt>
                <c:pt idx="21">
                  <c:v>32.982075999999999</c:v>
                </c:pt>
                <c:pt idx="22">
                  <c:v>27.709583283086388</c:v>
                </c:pt>
                <c:pt idx="23">
                  <c:v>24.907738048183688</c:v>
                </c:pt>
                <c:pt idx="24">
                  <c:v>19.310576591921215</c:v>
                </c:pt>
                <c:pt idx="25">
                  <c:v>17</c:v>
                </c:pt>
                <c:pt idx="26">
                  <c:v>20.722780873843412</c:v>
                </c:pt>
                <c:pt idx="27">
                  <c:v>21.080916738078123</c:v>
                </c:pt>
                <c:pt idx="28">
                  <c:v>25.588746730337991</c:v>
                </c:pt>
                <c:pt idx="29">
                  <c:v>28</c:v>
                </c:pt>
              </c:numCache>
            </c:numRef>
          </c:val>
          <c:smooth val="0"/>
          <c:extLst>
            <c:ext xmlns:c16="http://schemas.microsoft.com/office/drawing/2014/chart" uri="{C3380CC4-5D6E-409C-BE32-E72D297353CC}">
              <c16:uniqueId val="{00000001-DB3F-4A55-B16E-2E0767A5E014}"/>
            </c:ext>
          </c:extLst>
        </c:ser>
        <c:dLbls>
          <c:showLegendKey val="0"/>
          <c:showVal val="0"/>
          <c:showCatName val="0"/>
          <c:showSerName val="0"/>
          <c:showPercent val="0"/>
          <c:showBubbleSize val="0"/>
        </c:dLbls>
        <c:marker val="1"/>
        <c:smooth val="0"/>
        <c:axId val="129991680"/>
        <c:axId val="129919808"/>
      </c:lineChart>
      <c:catAx>
        <c:axId val="129991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29919808"/>
        <c:crosses val="autoZero"/>
        <c:auto val="1"/>
        <c:lblAlgn val="ctr"/>
        <c:lblOffset val="100"/>
        <c:tickLblSkip val="2"/>
        <c:tickMarkSkip val="1"/>
        <c:noMultiLvlLbl val="0"/>
      </c:catAx>
      <c:valAx>
        <c:axId val="1299198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991680"/>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9947780678851175"/>
          <c:w val="9.7087548522454048E-2"/>
          <c:h val="0.1122715404699739"/>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85305878074734E-2"/>
          <c:y val="6.7708505524967252E-2"/>
          <c:w val="0.74313467343897777"/>
          <c:h val="0.77604364024770167"/>
        </c:manualLayout>
      </c:layout>
      <c:lineChart>
        <c:grouping val="standard"/>
        <c:varyColors val="0"/>
        <c:ser>
          <c:idx val="0"/>
          <c:order val="0"/>
          <c:tx>
            <c:strRef>
              <c:f>MECS_Annual_Fuel1!$F$51</c:f>
              <c:strCache>
                <c:ptCount val="1"/>
                <c:pt idx="0">
                  <c:v>311-312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MECS_Annual_Fuel1!$G$51:$AM$51</c:f>
              <c:numCache>
                <c:formatCode>General</c:formatCode>
                <c:ptCount val="33"/>
                <c:pt idx="0">
                  <c:v>814.40918409036976</c:v>
                </c:pt>
                <c:pt idx="1">
                  <c:v>851.19749953824692</c:v>
                </c:pt>
                <c:pt idx="2">
                  <c:v>833.51038838632076</c:v>
                </c:pt>
                <c:pt idx="3">
                  <c:v>851.12053122624513</c:v>
                </c:pt>
                <c:pt idx="4">
                  <c:v>851.8988327684732</c:v>
                </c:pt>
                <c:pt idx="5">
                  <c:v>801.85853040559095</c:v>
                </c:pt>
                <c:pt idx="6">
                  <c:v>809.67414956814787</c:v>
                </c:pt>
                <c:pt idx="7">
                  <c:v>863.70158393200757</c:v>
                </c:pt>
                <c:pt idx="8">
                  <c:v>926.75369383250984</c:v>
                </c:pt>
                <c:pt idx="9">
                  <c:v>1008.5825527109854</c:v>
                </c:pt>
                <c:pt idx="10">
                  <c:v>996.91523388203518</c:v>
                </c:pt>
                <c:pt idx="11">
                  <c:v>865.22738818560777</c:v>
                </c:pt>
                <c:pt idx="12">
                  <c:v>867.68525811561415</c:v>
                </c:pt>
                <c:pt idx="13">
                  <c:v>914.596452</c:v>
                </c:pt>
                <c:pt idx="14">
                  <c:v>935.17439841307237</c:v>
                </c:pt>
                <c:pt idx="15">
                  <c:v>890.52621269592521</c:v>
                </c:pt>
                <c:pt idx="16">
                  <c:v>1033.4651559756132</c:v>
                </c:pt>
                <c:pt idx="17">
                  <c:v>963.55408</c:v>
                </c:pt>
                <c:pt idx="18">
                  <c:v>908.1512310074819</c:v>
                </c:pt>
                <c:pt idx="19">
                  <c:v>876.87404509058865</c:v>
                </c:pt>
                <c:pt idx="20">
                  <c:v>881.92508034163961</c:v>
                </c:pt>
                <c:pt idx="21" formatCode="0">
                  <c:v>1014.1992240000001</c:v>
                </c:pt>
                <c:pt idx="22">
                  <c:v>1017.3089008569175</c:v>
                </c:pt>
                <c:pt idx="23">
                  <c:v>913.55290679421876</c:v>
                </c:pt>
                <c:pt idx="24">
                  <c:v>1082.0437976266057</c:v>
                </c:pt>
                <c:pt idx="25">
                  <c:v>958</c:v>
                </c:pt>
                <c:pt idx="26">
                  <c:v>962.5869918448409</c:v>
                </c:pt>
                <c:pt idx="27">
                  <c:v>905.23015078882304</c:v>
                </c:pt>
                <c:pt idx="28">
                  <c:v>938.49143969789179</c:v>
                </c:pt>
                <c:pt idx="29">
                  <c:v>929</c:v>
                </c:pt>
                <c:pt idx="30" formatCode="0.00">
                  <c:v>1030.630146776351</c:v>
                </c:pt>
                <c:pt idx="31" formatCode="0.00">
                  <c:v>1061.6998274548725</c:v>
                </c:pt>
                <c:pt idx="32" formatCode="0.00">
                  <c:v>971.69780095161491</c:v>
                </c:pt>
              </c:numCache>
            </c:numRef>
          </c:val>
          <c:smooth val="0"/>
          <c:extLst>
            <c:ext xmlns:c16="http://schemas.microsoft.com/office/drawing/2014/chart" uri="{C3380CC4-5D6E-409C-BE32-E72D297353CC}">
              <c16:uniqueId val="{00000000-642A-4541-8920-8AD4A246141B}"/>
            </c:ext>
          </c:extLst>
        </c:ser>
        <c:ser>
          <c:idx val="1"/>
          <c:order val="1"/>
          <c:tx>
            <c:strRef>
              <c:f>MECS_Annual_Fuel1!$F$52</c:f>
              <c:strCache>
                <c:ptCount val="1"/>
                <c:pt idx="0">
                  <c:v>313-314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MECS_Annual_Fuel1!$G$52:$AM$52</c:f>
              <c:numCache>
                <c:formatCode>General</c:formatCode>
                <c:ptCount val="33"/>
                <c:pt idx="0">
                  <c:v>156.1414043262503</c:v>
                </c:pt>
                <c:pt idx="1">
                  <c:v>167.34431376858677</c:v>
                </c:pt>
                <c:pt idx="2">
                  <c:v>172.60133796131427</c:v>
                </c:pt>
                <c:pt idx="3">
                  <c:v>168.48905994885055</c:v>
                </c:pt>
                <c:pt idx="4">
                  <c:v>167.44427557233792</c:v>
                </c:pt>
                <c:pt idx="5">
                  <c:v>155.89053627343949</c:v>
                </c:pt>
                <c:pt idx="6">
                  <c:v>167.22964134569051</c:v>
                </c:pt>
                <c:pt idx="7">
                  <c:v>171.780636136151</c:v>
                </c:pt>
                <c:pt idx="8">
                  <c:v>179.66474753861871</c:v>
                </c:pt>
                <c:pt idx="9">
                  <c:v>192.94392268146368</c:v>
                </c:pt>
                <c:pt idx="10">
                  <c:v>190.8904946076554</c:v>
                </c:pt>
                <c:pt idx="11">
                  <c:v>167.09700979934172</c:v>
                </c:pt>
                <c:pt idx="12">
                  <c:v>170.57022786370626</c:v>
                </c:pt>
                <c:pt idx="13">
                  <c:v>183.883668</c:v>
                </c:pt>
                <c:pt idx="14">
                  <c:v>187.31181548387343</c:v>
                </c:pt>
                <c:pt idx="15">
                  <c:v>156.99410743381722</c:v>
                </c:pt>
                <c:pt idx="16">
                  <c:v>156.54886822367064</c:v>
                </c:pt>
                <c:pt idx="17">
                  <c:v>161.77534800000001</c:v>
                </c:pt>
                <c:pt idx="18">
                  <c:v>144.82060676734446</c:v>
                </c:pt>
                <c:pt idx="19">
                  <c:v>150.15509141889578</c:v>
                </c:pt>
                <c:pt idx="20">
                  <c:v>157.5923565830285</c:v>
                </c:pt>
                <c:pt idx="21" formatCode="0">
                  <c:v>164.407712</c:v>
                </c:pt>
                <c:pt idx="22">
                  <c:v>117.72476201119797</c:v>
                </c:pt>
                <c:pt idx="23">
                  <c:v>100.10391940983209</c:v>
                </c:pt>
                <c:pt idx="24">
                  <c:v>92.386077520771678</c:v>
                </c:pt>
                <c:pt idx="25">
                  <c:v>62</c:v>
                </c:pt>
                <c:pt idx="26">
                  <c:v>63.735355866562557</c:v>
                </c:pt>
                <c:pt idx="27">
                  <c:v>65.232230776731996</c:v>
                </c:pt>
                <c:pt idx="28">
                  <c:v>70.717952789685583</c:v>
                </c:pt>
                <c:pt idx="29">
                  <c:v>72</c:v>
                </c:pt>
                <c:pt idx="30" formatCode="0.00">
                  <c:v>74.509049446669465</c:v>
                </c:pt>
                <c:pt idx="31" formatCode="0.00">
                  <c:v>78.338211968875697</c:v>
                </c:pt>
                <c:pt idx="32" formatCode="0.00">
                  <c:v>58.42197502449914</c:v>
                </c:pt>
              </c:numCache>
            </c:numRef>
          </c:val>
          <c:smooth val="0"/>
          <c:extLst>
            <c:ext xmlns:c16="http://schemas.microsoft.com/office/drawing/2014/chart" uri="{C3380CC4-5D6E-409C-BE32-E72D297353CC}">
              <c16:uniqueId val="{00000001-642A-4541-8920-8AD4A246141B}"/>
            </c:ext>
          </c:extLst>
        </c:ser>
        <c:ser>
          <c:idx val="2"/>
          <c:order val="2"/>
          <c:tx>
            <c:strRef>
              <c:f>MECS_Annual_Fuel1!$F$53</c:f>
              <c:strCache>
                <c:ptCount val="1"/>
                <c:pt idx="0">
                  <c:v>315-316</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MECS_Annual_Fuel1!$G$53:$AM$53</c:f>
              <c:numCache>
                <c:formatCode>General</c:formatCode>
                <c:ptCount val="33"/>
                <c:pt idx="0">
                  <c:v>27.870927218965459</c:v>
                </c:pt>
                <c:pt idx="1">
                  <c:v>38.210686463826796</c:v>
                </c:pt>
                <c:pt idx="2">
                  <c:v>41.21594313846515</c:v>
                </c:pt>
                <c:pt idx="3">
                  <c:v>46.203934666809843</c:v>
                </c:pt>
                <c:pt idx="4">
                  <c:v>38.72494633334945</c:v>
                </c:pt>
                <c:pt idx="5">
                  <c:v>34.234269572907131</c:v>
                </c:pt>
                <c:pt idx="6">
                  <c:v>36.963147733447869</c:v>
                </c:pt>
                <c:pt idx="7">
                  <c:v>37.95122991416855</c:v>
                </c:pt>
                <c:pt idx="8">
                  <c:v>38.969253979153493</c:v>
                </c:pt>
                <c:pt idx="9">
                  <c:v>39.957336159874167</c:v>
                </c:pt>
                <c:pt idx="10">
                  <c:v>44.512636188125661</c:v>
                </c:pt>
                <c:pt idx="11">
                  <c:v>36.045490006918435</c:v>
                </c:pt>
                <c:pt idx="12">
                  <c:v>34.309579022565551</c:v>
                </c:pt>
                <c:pt idx="13">
                  <c:v>35.487055999999995</c:v>
                </c:pt>
                <c:pt idx="14">
                  <c:v>34.727399494976886</c:v>
                </c:pt>
                <c:pt idx="15">
                  <c:v>27.828729813053091</c:v>
                </c:pt>
                <c:pt idx="16">
                  <c:v>25.821803000550606</c:v>
                </c:pt>
                <c:pt idx="17">
                  <c:v>22.314752000000002</c:v>
                </c:pt>
                <c:pt idx="18">
                  <c:v>13.370253732879473</c:v>
                </c:pt>
                <c:pt idx="19">
                  <c:v>12.950620915309582</c:v>
                </c:pt>
                <c:pt idx="20">
                  <c:v>10.444249462603306</c:v>
                </c:pt>
                <c:pt idx="21" formatCode="0">
                  <c:v>8.7224880000000002</c:v>
                </c:pt>
                <c:pt idx="22">
                  <c:v>5.5487247592447062</c:v>
                </c:pt>
                <c:pt idx="23">
                  <c:v>2.9930445873252332</c:v>
                </c:pt>
                <c:pt idx="24">
                  <c:v>3.526210661636902</c:v>
                </c:pt>
                <c:pt idx="25">
                  <c:v>3</c:v>
                </c:pt>
                <c:pt idx="26">
                  <c:v>3.4834106866991101</c:v>
                </c:pt>
                <c:pt idx="27">
                  <c:v>2.8834010636912977</c:v>
                </c:pt>
                <c:pt idx="28">
                  <c:v>2.9774098793298824</c:v>
                </c:pt>
                <c:pt idx="29">
                  <c:v>3</c:v>
                </c:pt>
                <c:pt idx="30" formatCode="0.00">
                  <c:v>4.4320835988412783</c:v>
                </c:pt>
                <c:pt idx="31" formatCode="0.00">
                  <c:v>4.9647133073011736</c:v>
                </c:pt>
                <c:pt idx="32" formatCode="0.00">
                  <c:v>4.2770219585491782</c:v>
                </c:pt>
              </c:numCache>
            </c:numRef>
          </c:val>
          <c:smooth val="0"/>
          <c:extLst>
            <c:ext xmlns:c16="http://schemas.microsoft.com/office/drawing/2014/chart" uri="{C3380CC4-5D6E-409C-BE32-E72D297353CC}">
              <c16:uniqueId val="{00000002-642A-4541-8920-8AD4A246141B}"/>
            </c:ext>
          </c:extLst>
        </c:ser>
        <c:ser>
          <c:idx val="3"/>
          <c:order val="3"/>
          <c:tx>
            <c:strRef>
              <c:f>MECS_Annual_Fuel1!$F$54</c:f>
              <c:strCache>
                <c:ptCount val="1"/>
                <c:pt idx="0">
                  <c:v>321</c:v>
                </c:pt>
              </c:strCache>
            </c:strRef>
          </c:tx>
          <c:spPr>
            <a:ln w="12700">
              <a:solidFill>
                <a:srgbClr val="00FFFF"/>
              </a:solidFill>
              <a:prstDash val="solid"/>
            </a:ln>
          </c:spPr>
          <c:marker>
            <c:symbol val="x"/>
            <c:size val="5"/>
            <c:spPr>
              <a:noFill/>
              <a:ln>
                <a:solidFill>
                  <a:srgbClr val="00FFFF"/>
                </a:solidFill>
                <a:prstDash val="solid"/>
              </a:ln>
            </c:spPr>
          </c:marker>
          <c:cat>
            <c:numRef>
              <c:f>MECS_Annual_Fuel1!$G$50:$AM$50</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MECS_Annual_Fuel1!$G$54:$AM$54</c:f>
              <c:numCache>
                <c:formatCode>General</c:formatCode>
                <c:ptCount val="33"/>
                <c:pt idx="0">
                  <c:v>248.79987339144392</c:v>
                </c:pt>
                <c:pt idx="1">
                  <c:v>255.75096288820842</c:v>
                </c:pt>
                <c:pt idx="2">
                  <c:v>293.32052036990052</c:v>
                </c:pt>
                <c:pt idx="3">
                  <c:v>302.60197307912358</c:v>
                </c:pt>
                <c:pt idx="4">
                  <c:v>314.98874210000514</c:v>
                </c:pt>
                <c:pt idx="5">
                  <c:v>317.55370658139748</c:v>
                </c:pt>
                <c:pt idx="6">
                  <c:v>314.83245355703338</c:v>
                </c:pt>
                <c:pt idx="7">
                  <c:v>285.65263466533662</c:v>
                </c:pt>
                <c:pt idx="8">
                  <c:v>308.99770621726981</c:v>
                </c:pt>
                <c:pt idx="9">
                  <c:v>319.45866435321039</c:v>
                </c:pt>
                <c:pt idx="10">
                  <c:v>373.11340884966961</c:v>
                </c:pt>
                <c:pt idx="11">
                  <c:v>354.43765969546752</c:v>
                </c:pt>
                <c:pt idx="12">
                  <c:v>351.22789070081427</c:v>
                </c:pt>
                <c:pt idx="13">
                  <c:v>431.76796000000002</c:v>
                </c:pt>
                <c:pt idx="14">
                  <c:v>456.65878470026882</c:v>
                </c:pt>
                <c:pt idx="15">
                  <c:v>395.38550253374592</c:v>
                </c:pt>
                <c:pt idx="16">
                  <c:v>334.95065632387758</c:v>
                </c:pt>
                <c:pt idx="17">
                  <c:v>303.39918</c:v>
                </c:pt>
                <c:pt idx="18">
                  <c:v>315.36572210850733</c:v>
                </c:pt>
                <c:pt idx="19">
                  <c:v>334.05313526607807</c:v>
                </c:pt>
                <c:pt idx="20">
                  <c:v>328.05195783490865</c:v>
                </c:pt>
                <c:pt idx="21" formatCode="0">
                  <c:v>353.821124</c:v>
                </c:pt>
                <c:pt idx="22">
                  <c:v>384.72650075395597</c:v>
                </c:pt>
                <c:pt idx="23">
                  <c:v>340.75137141804316</c:v>
                </c:pt>
                <c:pt idx="24">
                  <c:v>349.87643313649335</c:v>
                </c:pt>
                <c:pt idx="25">
                  <c:v>418</c:v>
                </c:pt>
                <c:pt idx="26">
                  <c:v>344.71258871576003</c:v>
                </c:pt>
                <c:pt idx="27">
                  <c:v>268.15711778672494</c:v>
                </c:pt>
                <c:pt idx="28">
                  <c:v>299.38234805307519</c:v>
                </c:pt>
                <c:pt idx="29">
                  <c:v>311</c:v>
                </c:pt>
                <c:pt idx="30" formatCode="0.00">
                  <c:v>386.26514793818404</c:v>
                </c:pt>
                <c:pt idx="31" formatCode="0.00">
                  <c:v>429.30426619607431</c:v>
                </c:pt>
                <c:pt idx="32" formatCode="0.00">
                  <c:v>458.23367249135623</c:v>
                </c:pt>
              </c:numCache>
            </c:numRef>
          </c:val>
          <c:smooth val="0"/>
          <c:extLst>
            <c:ext xmlns:c16="http://schemas.microsoft.com/office/drawing/2014/chart" uri="{C3380CC4-5D6E-409C-BE32-E72D297353CC}">
              <c16:uniqueId val="{00000003-642A-4541-8920-8AD4A246141B}"/>
            </c:ext>
          </c:extLst>
        </c:ser>
        <c:dLbls>
          <c:showLegendKey val="0"/>
          <c:showVal val="0"/>
          <c:showCatName val="0"/>
          <c:showSerName val="0"/>
          <c:showPercent val="0"/>
          <c:showBubbleSize val="0"/>
        </c:dLbls>
        <c:marker val="1"/>
        <c:smooth val="0"/>
        <c:axId val="130391552"/>
        <c:axId val="129922112"/>
      </c:lineChart>
      <c:catAx>
        <c:axId val="13039155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29922112"/>
        <c:crosses val="autoZero"/>
        <c:auto val="1"/>
        <c:lblAlgn val="ctr"/>
        <c:lblOffset val="100"/>
        <c:tickLblSkip val="2"/>
        <c:tickMarkSkip val="1"/>
        <c:noMultiLvlLbl val="0"/>
      </c:catAx>
      <c:valAx>
        <c:axId val="12992211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0391552"/>
        <c:crosses val="autoZero"/>
        <c:crossBetween val="between"/>
      </c:valAx>
      <c:spPr>
        <a:solidFill>
          <a:srgbClr val="C0C0C0"/>
        </a:solidFill>
        <a:ln w="12700">
          <a:solidFill>
            <a:srgbClr val="808080"/>
          </a:solidFill>
          <a:prstDash val="solid"/>
        </a:ln>
      </c:spPr>
    </c:plotArea>
    <c:legend>
      <c:legendPos val="r"/>
      <c:layout>
        <c:manualLayout>
          <c:xMode val="edge"/>
          <c:yMode val="edge"/>
          <c:x val="0.84975835209613337"/>
          <c:y val="0.34635498687664046"/>
          <c:w val="0.1373184248576359"/>
          <c:h val="0.2213547134733158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85305878074734E-2"/>
          <c:y val="6.7708505524967252E-2"/>
          <c:w val="0.7835224274302266"/>
          <c:h val="0.77604364024770167"/>
        </c:manualLayout>
      </c:layout>
      <c:lineChart>
        <c:grouping val="standard"/>
        <c:varyColors val="0"/>
        <c:ser>
          <c:idx val="0"/>
          <c:order val="0"/>
          <c:tx>
            <c:strRef>
              <c:f>MECS_Annual_Fuel1!$F$75</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MECS_Annual_Fuel1!$G$75:$AM$75</c:f>
              <c:numCache>
                <c:formatCode>General</c:formatCode>
                <c:ptCount val="33"/>
                <c:pt idx="0">
                  <c:v>2017.3632372266716</c:v>
                </c:pt>
                <c:pt idx="1">
                  <c:v>1985.8799822003309</c:v>
                </c:pt>
                <c:pt idx="2">
                  <c:v>2039.394142819116</c:v>
                </c:pt>
                <c:pt idx="3">
                  <c:v>2153.9562641132611</c:v>
                </c:pt>
                <c:pt idx="4">
                  <c:v>2186.1253063093668</c:v>
                </c:pt>
                <c:pt idx="5">
                  <c:v>2232.4561523667417</c:v>
                </c:pt>
                <c:pt idx="6">
                  <c:v>2267.2367478194155</c:v>
                </c:pt>
                <c:pt idx="7">
                  <c:v>2376.8968151839495</c:v>
                </c:pt>
                <c:pt idx="8">
                  <c:v>2413.860058955303</c:v>
                </c:pt>
                <c:pt idx="9">
                  <c:v>2406.5414497255788</c:v>
                </c:pt>
                <c:pt idx="10">
                  <c:v>2475.1031059942475</c:v>
                </c:pt>
                <c:pt idx="11">
                  <c:v>2445.7058531055864</c:v>
                </c:pt>
                <c:pt idx="12">
                  <c:v>2444.4671078929837</c:v>
                </c:pt>
                <c:pt idx="13">
                  <c:v>2503.918032</c:v>
                </c:pt>
                <c:pt idx="14">
                  <c:v>2465.1884562264563</c:v>
                </c:pt>
                <c:pt idx="15">
                  <c:v>2357.2657029108259</c:v>
                </c:pt>
                <c:pt idx="16">
                  <c:v>2298.5199852617166</c:v>
                </c:pt>
                <c:pt idx="17">
                  <c:v>2137.503764</c:v>
                </c:pt>
                <c:pt idx="18">
                  <c:v>2062.2055493557114</c:v>
                </c:pt>
                <c:pt idx="19">
                  <c:v>2028.3709641295484</c:v>
                </c:pt>
                <c:pt idx="20">
                  <c:v>2041.520676975912</c:v>
                </c:pt>
                <c:pt idx="21">
                  <c:v>2106.5685840000001</c:v>
                </c:pt>
                <c:pt idx="22">
                  <c:v>2090.1212360058084</c:v>
                </c:pt>
                <c:pt idx="23">
                  <c:v>1905.2774059551602</c:v>
                </c:pt>
                <c:pt idx="24">
                  <c:v>1774.044580052572</c:v>
                </c:pt>
                <c:pt idx="25">
                  <c:v>1904</c:v>
                </c:pt>
                <c:pt idx="26">
                  <c:v>1722.0786392639382</c:v>
                </c:pt>
                <c:pt idx="27">
                  <c:v>1678.8466954510259</c:v>
                </c:pt>
                <c:pt idx="28">
                  <c:v>1810.8084829965851</c:v>
                </c:pt>
                <c:pt idx="29">
                  <c:v>1899</c:v>
                </c:pt>
                <c:pt idx="30">
                  <c:v>1916.5339866445674</c:v>
                </c:pt>
                <c:pt idx="31">
                  <c:v>1920.6028756718433</c:v>
                </c:pt>
                <c:pt idx="32">
                  <c:v>1793.6389598515498</c:v>
                </c:pt>
              </c:numCache>
            </c:numRef>
          </c:val>
          <c:smooth val="0"/>
          <c:extLst>
            <c:ext xmlns:c16="http://schemas.microsoft.com/office/drawing/2014/chart" uri="{C3380CC4-5D6E-409C-BE32-E72D297353CC}">
              <c16:uniqueId val="{00000000-CC79-4190-9319-5096C04B4622}"/>
            </c:ext>
          </c:extLst>
        </c:ser>
        <c:ser>
          <c:idx val="1"/>
          <c:order val="1"/>
          <c:tx>
            <c:strRef>
              <c:f>MECS_Annual_Fuel1!$F$76</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MECS_Annual_Fuel1!$G$76:$AM$76</c:f>
              <c:numCache>
                <c:formatCode>General</c:formatCode>
                <c:ptCount val="33"/>
                <c:pt idx="0">
                  <c:v>26.699079874753146</c:v>
                </c:pt>
                <c:pt idx="1">
                  <c:v>31.398684042991388</c:v>
                </c:pt>
                <c:pt idx="2">
                  <c:v>35.457031000499867</c:v>
                </c:pt>
                <c:pt idx="3">
                  <c:v>40.089746346787351</c:v>
                </c:pt>
                <c:pt idx="4">
                  <c:v>41.243633713675202</c:v>
                </c:pt>
                <c:pt idx="5">
                  <c:v>40.250360783695889</c:v>
                </c:pt>
                <c:pt idx="6">
                  <c:v>38.576483481067747</c:v>
                </c:pt>
                <c:pt idx="7">
                  <c:v>38.178392597320688</c:v>
                </c:pt>
                <c:pt idx="8">
                  <c:v>35.271440939704874</c:v>
                </c:pt>
                <c:pt idx="9">
                  <c:v>37.113573244007682</c:v>
                </c:pt>
                <c:pt idx="10">
                  <c:v>43.188518122581051</c:v>
                </c:pt>
                <c:pt idx="11">
                  <c:v>40.33110661016218</c:v>
                </c:pt>
                <c:pt idx="12">
                  <c:v>40.608372244311404</c:v>
                </c:pt>
                <c:pt idx="13">
                  <c:v>47.004247999999997</c:v>
                </c:pt>
                <c:pt idx="14">
                  <c:v>52.164830887173935</c:v>
                </c:pt>
                <c:pt idx="15">
                  <c:v>43.975163094048298</c:v>
                </c:pt>
                <c:pt idx="16">
                  <c:v>43.927533603441304</c:v>
                </c:pt>
                <c:pt idx="17">
                  <c:v>47.795832000000004</c:v>
                </c:pt>
                <c:pt idx="18">
                  <c:v>39.692067517161526</c:v>
                </c:pt>
                <c:pt idx="19">
                  <c:v>39.966826921984563</c:v>
                </c:pt>
                <c:pt idx="20">
                  <c:v>36.753303021623331</c:v>
                </c:pt>
                <c:pt idx="21">
                  <c:v>40.374451999999998</c:v>
                </c:pt>
                <c:pt idx="22">
                  <c:v>40.901224952433246</c:v>
                </c:pt>
                <c:pt idx="23">
                  <c:v>32.461027328280444</c:v>
                </c:pt>
                <c:pt idx="24">
                  <c:v>42.881660809701962</c:v>
                </c:pt>
                <c:pt idx="25">
                  <c:v>36</c:v>
                </c:pt>
                <c:pt idx="26">
                  <c:v>39.681746342190024</c:v>
                </c:pt>
                <c:pt idx="27">
                  <c:v>40.886951644453283</c:v>
                </c:pt>
                <c:pt idx="28">
                  <c:v>41.131101202521521</c:v>
                </c:pt>
                <c:pt idx="29">
                  <c:v>40</c:v>
                </c:pt>
                <c:pt idx="30">
                  <c:v>41.772916701739263</c:v>
                </c:pt>
                <c:pt idx="31">
                  <c:v>48.826228708148577</c:v>
                </c:pt>
                <c:pt idx="32">
                  <c:v>59.497184411456416</c:v>
                </c:pt>
              </c:numCache>
            </c:numRef>
          </c:val>
          <c:smooth val="0"/>
          <c:extLst>
            <c:ext xmlns:c16="http://schemas.microsoft.com/office/drawing/2014/chart" uri="{C3380CC4-5D6E-409C-BE32-E72D297353CC}">
              <c16:uniqueId val="{00000001-CC79-4190-9319-5096C04B4622}"/>
            </c:ext>
          </c:extLst>
        </c:ser>
        <c:ser>
          <c:idx val="2"/>
          <c:order val="2"/>
          <c:tx>
            <c:strRef>
              <c:f>MECS_Annual_Fuel1!$F$77</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MECS_Annual_Fuel1!$G$77:$AM$77</c:f>
              <c:numCache>
                <c:formatCode>General</c:formatCode>
                <c:ptCount val="33"/>
                <c:pt idx="0">
                  <c:v>2519.6333802647096</c:v>
                </c:pt>
                <c:pt idx="1">
                  <c:v>2626.7910501830515</c:v>
                </c:pt>
                <c:pt idx="2">
                  <c:v>2540.5233690368536</c:v>
                </c:pt>
                <c:pt idx="3">
                  <c:v>3018.3157833208888</c:v>
                </c:pt>
                <c:pt idx="4">
                  <c:v>2915.2969285910458</c:v>
                </c:pt>
                <c:pt idx="5">
                  <c:v>3124.7889425288813</c:v>
                </c:pt>
                <c:pt idx="6">
                  <c:v>2884.3712617836486</c:v>
                </c:pt>
                <c:pt idx="7">
                  <c:v>2872.0335311985218</c:v>
                </c:pt>
                <c:pt idx="8">
                  <c:v>3246.9546532568111</c:v>
                </c:pt>
                <c:pt idx="9">
                  <c:v>3144.6947232151383</c:v>
                </c:pt>
                <c:pt idx="10">
                  <c:v>3137.6429801840677</c:v>
                </c:pt>
                <c:pt idx="11">
                  <c:v>3075.4499035761555</c:v>
                </c:pt>
                <c:pt idx="12">
                  <c:v>2949.7808019834833</c:v>
                </c:pt>
                <c:pt idx="13">
                  <c:v>3495.5546920000002</c:v>
                </c:pt>
                <c:pt idx="14">
                  <c:v>3559.9686790500004</c:v>
                </c:pt>
                <c:pt idx="15">
                  <c:v>3613.8718330000002</c:v>
                </c:pt>
                <c:pt idx="16">
                  <c:v>3380.0635843649989</c:v>
                </c:pt>
                <c:pt idx="17">
                  <c:v>3075.1213680000001</c:v>
                </c:pt>
                <c:pt idx="18">
                  <c:v>2948.1391387304238</c:v>
                </c:pt>
                <c:pt idx="19">
                  <c:v>3025.491120124726</c:v>
                </c:pt>
                <c:pt idx="20">
                  <c:v>3193.4321473633022</c:v>
                </c:pt>
                <c:pt idx="21">
                  <c:v>3259.0627920000002</c:v>
                </c:pt>
                <c:pt idx="22">
                  <c:v>3224.6173172433992</c:v>
                </c:pt>
                <c:pt idx="23">
                  <c:v>3293.4724138945789</c:v>
                </c:pt>
                <c:pt idx="24">
                  <c:v>2789.2590401073339</c:v>
                </c:pt>
                <c:pt idx="25">
                  <c:v>3159</c:v>
                </c:pt>
                <c:pt idx="26">
                  <c:v>3119.7773525461766</c:v>
                </c:pt>
                <c:pt idx="27">
                  <c:v>2948.0452954146526</c:v>
                </c:pt>
                <c:pt idx="28">
                  <c:v>3141.97711054922</c:v>
                </c:pt>
                <c:pt idx="29">
                  <c:v>3346</c:v>
                </c:pt>
                <c:pt idx="30">
                  <c:v>2662.5075454970774</c:v>
                </c:pt>
                <c:pt idx="31">
                  <c:v>2393.0286293869767</c:v>
                </c:pt>
                <c:pt idx="32">
                  <c:v>2653.5491863240372</c:v>
                </c:pt>
              </c:numCache>
            </c:numRef>
          </c:val>
          <c:smooth val="0"/>
          <c:extLst>
            <c:ext xmlns:c16="http://schemas.microsoft.com/office/drawing/2014/chart" uri="{C3380CC4-5D6E-409C-BE32-E72D297353CC}">
              <c16:uniqueId val="{00000002-CC79-4190-9319-5096C04B4622}"/>
            </c:ext>
          </c:extLst>
        </c:ser>
        <c:ser>
          <c:idx val="3"/>
          <c:order val="3"/>
          <c:tx>
            <c:strRef>
              <c:f>MECS_Annual_Fuel1!$F$78</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MECS_Annual_Fuel1!$G$74:$AM$74</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MECS_Annual_Fuel1!$G$78:$AM$78</c:f>
              <c:numCache>
                <c:formatCode>General</c:formatCode>
                <c:ptCount val="33"/>
                <c:pt idx="0">
                  <c:v>1982.3306729500532</c:v>
                </c:pt>
                <c:pt idx="1">
                  <c:v>1831.8447835330508</c:v>
                </c:pt>
                <c:pt idx="2">
                  <c:v>2195.6054591308875</c:v>
                </c:pt>
                <c:pt idx="3">
                  <c:v>2425.2974275342949</c:v>
                </c:pt>
                <c:pt idx="4">
                  <c:v>2499.3203693504865</c:v>
                </c:pt>
                <c:pt idx="5">
                  <c:v>2517.1130386253217</c:v>
                </c:pt>
                <c:pt idx="6">
                  <c:v>2577.2858974832011</c:v>
                </c:pt>
                <c:pt idx="7">
                  <c:v>2632.2200280541119</c:v>
                </c:pt>
                <c:pt idx="8">
                  <c:v>2820.3739697938513</c:v>
                </c:pt>
                <c:pt idx="9">
                  <c:v>2729.1714558311169</c:v>
                </c:pt>
                <c:pt idx="10">
                  <c:v>2877.6037699885965</c:v>
                </c:pt>
                <c:pt idx="11">
                  <c:v>2983.4361586099817</c:v>
                </c:pt>
                <c:pt idx="12">
                  <c:v>2817.9117757813692</c:v>
                </c:pt>
                <c:pt idx="13">
                  <c:v>3126.5770039999998</c:v>
                </c:pt>
                <c:pt idx="14">
                  <c:v>3498.9703549895826</c:v>
                </c:pt>
                <c:pt idx="15">
                  <c:v>3615.6959010259156</c:v>
                </c:pt>
                <c:pt idx="16">
                  <c:v>3551.4100552177861</c:v>
                </c:pt>
                <c:pt idx="17">
                  <c:v>3246.609152</c:v>
                </c:pt>
                <c:pt idx="18">
                  <c:v>2888.0664643530986</c:v>
                </c:pt>
                <c:pt idx="19">
                  <c:v>2813.8843609137466</c:v>
                </c:pt>
                <c:pt idx="20">
                  <c:v>2732.1209966405363</c:v>
                </c:pt>
                <c:pt idx="21">
                  <c:v>2677.7578599999997</c:v>
                </c:pt>
                <c:pt idx="22">
                  <c:v>2785.9559975493548</c:v>
                </c:pt>
                <c:pt idx="23">
                  <c:v>2693.658556429019</c:v>
                </c:pt>
                <c:pt idx="24">
                  <c:v>2420.7850783001531</c:v>
                </c:pt>
                <c:pt idx="25">
                  <c:v>2772</c:v>
                </c:pt>
                <c:pt idx="26">
                  <c:v>2865.8842342198377</c:v>
                </c:pt>
                <c:pt idx="27">
                  <c:v>2721.4162617878787</c:v>
                </c:pt>
                <c:pt idx="28">
                  <c:v>3072.8614151678034</c:v>
                </c:pt>
                <c:pt idx="29">
                  <c:v>3069</c:v>
                </c:pt>
                <c:pt idx="30">
                  <c:v>3261.3093142911703</c:v>
                </c:pt>
                <c:pt idx="31">
                  <c:v>3611.5291991229756</c:v>
                </c:pt>
                <c:pt idx="32">
                  <c:v>3286.1766212997227</c:v>
                </c:pt>
              </c:numCache>
            </c:numRef>
          </c:val>
          <c:smooth val="0"/>
          <c:extLst>
            <c:ext xmlns:c16="http://schemas.microsoft.com/office/drawing/2014/chart" uri="{C3380CC4-5D6E-409C-BE32-E72D297353CC}">
              <c16:uniqueId val="{00000003-CC79-4190-9319-5096C04B4622}"/>
            </c:ext>
          </c:extLst>
        </c:ser>
        <c:dLbls>
          <c:showLegendKey val="0"/>
          <c:showVal val="0"/>
          <c:showCatName val="0"/>
          <c:showSerName val="0"/>
          <c:showPercent val="0"/>
          <c:showBubbleSize val="0"/>
        </c:dLbls>
        <c:marker val="1"/>
        <c:smooth val="0"/>
        <c:axId val="129992192"/>
        <c:axId val="129924416"/>
      </c:lineChart>
      <c:catAx>
        <c:axId val="12999219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29924416"/>
        <c:crosses val="autoZero"/>
        <c:auto val="1"/>
        <c:lblAlgn val="ctr"/>
        <c:lblOffset val="100"/>
        <c:tickLblSkip val="2"/>
        <c:tickMarkSkip val="1"/>
        <c:noMultiLvlLbl val="0"/>
      </c:catAx>
      <c:valAx>
        <c:axId val="12992441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992192"/>
        <c:crosses val="autoZero"/>
        <c:crossBetween val="between"/>
      </c:valAx>
      <c:spPr>
        <a:solidFill>
          <a:srgbClr val="C0C0C0"/>
        </a:solidFill>
        <a:ln w="12700">
          <a:solidFill>
            <a:srgbClr val="808080"/>
          </a:solidFill>
          <a:prstDash val="solid"/>
        </a:ln>
      </c:spPr>
    </c:plotArea>
    <c:legend>
      <c:legendPos val="r"/>
      <c:layout>
        <c:manualLayout>
          <c:xMode val="edge"/>
          <c:yMode val="edge"/>
          <c:x val="0.89014607422860503"/>
          <c:y val="0.34635498687664046"/>
          <c:w val="9.6930533117932094E-2"/>
          <c:h val="0.2213547134733158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032378312693278"/>
          <c:y val="6.7885117493472591E-2"/>
          <c:w val="0.81975343443515347"/>
          <c:h val="0.77545691906005221"/>
        </c:manualLayout>
      </c:layout>
      <c:lineChart>
        <c:grouping val="standard"/>
        <c:varyColors val="0"/>
        <c:ser>
          <c:idx val="0"/>
          <c:order val="0"/>
          <c:tx>
            <c:strRef>
              <c:f>MECS_Annual_Fuel2!$BK$35</c:f>
              <c:strCache>
                <c:ptCount val="1"/>
                <c:pt idx="0">
                  <c:v>Elec-Interp.</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MECS_Annual_Fuel2!$BJ$36:$BJ$68</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MECS_Annual_Fuel2!$BK$36:$BK$68</c:f>
              <c:numCache>
                <c:formatCode>#,##0.0</c:formatCode>
                <c:ptCount val="33"/>
                <c:pt idx="0">
                  <c:v>11405.381661116657</c:v>
                </c:pt>
                <c:pt idx="1">
                  <c:v>11848.14459054793</c:v>
                </c:pt>
                <c:pt idx="2">
                  <c:v>12244.467026933529</c:v>
                </c:pt>
                <c:pt idx="3">
                  <c:v>13042.115484022981</c:v>
                </c:pt>
                <c:pt idx="4">
                  <c:v>12938.712984296737</c:v>
                </c:pt>
                <c:pt idx="5">
                  <c:v>13127.243620441241</c:v>
                </c:pt>
                <c:pt idx="6">
                  <c:v>12599.548369464048</c:v>
                </c:pt>
                <c:pt idx="7">
                  <c:v>13012.023322645411</c:v>
                </c:pt>
                <c:pt idx="8">
                  <c:v>13404.523508348133</c:v>
                </c:pt>
                <c:pt idx="9">
                  <c:v>13805.955934019132</c:v>
                </c:pt>
                <c:pt idx="10">
                  <c:v>14156.850042956279</c:v>
                </c:pt>
                <c:pt idx="11">
                  <c:v>14557.42477201747</c:v>
                </c:pt>
                <c:pt idx="12">
                  <c:v>14560.236328467941</c:v>
                </c:pt>
                <c:pt idx="13">
                  <c:v>14659.114711999997</c:v>
                </c:pt>
                <c:pt idx="14">
                  <c:v>14728.509324347524</c:v>
                </c:pt>
                <c:pt idx="15">
                  <c:v>14923.847161432477</c:v>
                </c:pt>
                <c:pt idx="16">
                  <c:v>14192.295830046149</c:v>
                </c:pt>
                <c:pt idx="17">
                  <c:v>13433.641368000002</c:v>
                </c:pt>
                <c:pt idx="18">
                  <c:v>13144.904346684232</c:v>
                </c:pt>
                <c:pt idx="19">
                  <c:v>13294.146339556921</c:v>
                </c:pt>
                <c:pt idx="20">
                  <c:v>13384.606670720777</c:v>
                </c:pt>
                <c:pt idx="21">
                  <c:v>12805.585636000002</c:v>
                </c:pt>
                <c:pt idx="22">
                  <c:v>12906.494993698292</c:v>
                </c:pt>
                <c:pt idx="23">
                  <c:v>12750.609076748007</c:v>
                </c:pt>
                <c:pt idx="24">
                  <c:v>11246.042322398092</c:v>
                </c:pt>
                <c:pt idx="25">
                  <c:v>11795</c:v>
                </c:pt>
                <c:pt idx="26">
                  <c:v>12423.025844770134</c:v>
                </c:pt>
                <c:pt idx="27">
                  <c:v>12361.558379338943</c:v>
                </c:pt>
                <c:pt idx="28">
                  <c:v>12149.692187268034</c:v>
                </c:pt>
                <c:pt idx="29">
                  <c:v>12301</c:v>
                </c:pt>
                <c:pt idx="30">
                  <c:v>12280.28336888263</c:v>
                </c:pt>
                <c:pt idx="31">
                  <c:v>11897.091115174684</c:v>
                </c:pt>
                <c:pt idx="32">
                  <c:v>11965.960519445742</c:v>
                </c:pt>
              </c:numCache>
            </c:numRef>
          </c:val>
          <c:smooth val="0"/>
          <c:extLst>
            <c:ext xmlns:c16="http://schemas.microsoft.com/office/drawing/2014/chart" uri="{C3380CC4-5D6E-409C-BE32-E72D297353CC}">
              <c16:uniqueId val="{00000000-456F-4279-B5A5-C6D74DD46DE6}"/>
            </c:ext>
          </c:extLst>
        </c:ser>
        <c:ser>
          <c:idx val="1"/>
          <c:order val="1"/>
          <c:tx>
            <c:strRef>
              <c:f>MECS_Annual_Fuel2!$BL$35</c:f>
              <c:strCache>
                <c:ptCount val="1"/>
                <c:pt idx="0">
                  <c:v>Price-Interp.</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MECS_Annual_Fuel2!$BJ$36:$BJ$68</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MECS_Annual_Fuel2!$BL$36:$BL$68</c:f>
              <c:numCache>
                <c:formatCode>#,##0.0</c:formatCode>
                <c:ptCount val="33"/>
                <c:pt idx="0">
                  <c:v>11405.381661116657</c:v>
                </c:pt>
                <c:pt idx="1">
                  <c:v>11398.401338339347</c:v>
                </c:pt>
                <c:pt idx="2">
                  <c:v>11824.903702251868</c:v>
                </c:pt>
                <c:pt idx="3">
                  <c:v>13042.115484022981</c:v>
                </c:pt>
                <c:pt idx="4">
                  <c:v>13031.66415840178</c:v>
                </c:pt>
                <c:pt idx="5">
                  <c:v>13045.831639619726</c:v>
                </c:pt>
                <c:pt idx="6">
                  <c:v>12599.548369464048</c:v>
                </c:pt>
                <c:pt idx="7">
                  <c:v>12897.065482770506</c:v>
                </c:pt>
                <c:pt idx="8">
                  <c:v>13805.083603961704</c:v>
                </c:pt>
                <c:pt idx="9">
                  <c:v>13805.955934019132</c:v>
                </c:pt>
                <c:pt idx="10">
                  <c:v>14100.248987193518</c:v>
                </c:pt>
                <c:pt idx="11">
                  <c:v>13825.46659221253</c:v>
                </c:pt>
                <c:pt idx="12">
                  <c:v>13443.556830524347</c:v>
                </c:pt>
                <c:pt idx="13">
                  <c:v>14659.114711999997</c:v>
                </c:pt>
                <c:pt idx="14">
                  <c:v>15107.987323717851</c:v>
                </c:pt>
                <c:pt idx="15">
                  <c:v>14949.547628319633</c:v>
                </c:pt>
                <c:pt idx="16">
                  <c:v>14514.588606183477</c:v>
                </c:pt>
                <c:pt idx="17">
                  <c:v>13433.641368000002</c:v>
                </c:pt>
                <c:pt idx="18">
                  <c:v>12683.97905434305</c:v>
                </c:pt>
                <c:pt idx="19">
                  <c:v>12662.2812968331</c:v>
                </c:pt>
                <c:pt idx="20">
                  <c:v>12496.464302974078</c:v>
                </c:pt>
                <c:pt idx="21">
                  <c:v>12805.585636000002</c:v>
                </c:pt>
                <c:pt idx="22">
                  <c:v>12854.449485866866</c:v>
                </c:pt>
                <c:pt idx="23">
                  <c:v>12079.741878083896</c:v>
                </c:pt>
                <c:pt idx="24">
                  <c:v>10850.372611996912</c:v>
                </c:pt>
                <c:pt idx="25">
                  <c:v>11795</c:v>
                </c:pt>
                <c:pt idx="26">
                  <c:v>11661.920733035413</c:v>
                </c:pt>
                <c:pt idx="27">
                  <c:v>11017.078970851395</c:v>
                </c:pt>
                <c:pt idx="28">
                  <c:v>11929.722103697588</c:v>
                </c:pt>
                <c:pt idx="29">
                  <c:v>12301</c:v>
                </c:pt>
                <c:pt idx="30">
                  <c:v>11954.117982146578</c:v>
                </c:pt>
                <c:pt idx="31">
                  <c:v>12191.032093345204</c:v>
                </c:pt>
                <c:pt idx="32">
                  <c:v>11881.290249504702</c:v>
                </c:pt>
              </c:numCache>
            </c:numRef>
          </c:val>
          <c:smooth val="0"/>
          <c:extLst>
            <c:ext xmlns:c16="http://schemas.microsoft.com/office/drawing/2014/chart" uri="{C3380CC4-5D6E-409C-BE32-E72D297353CC}">
              <c16:uniqueId val="{00000001-456F-4279-B5A5-C6D74DD46DE6}"/>
            </c:ext>
          </c:extLst>
        </c:ser>
        <c:ser>
          <c:idx val="2"/>
          <c:order val="2"/>
          <c:tx>
            <c:strRef>
              <c:f>MECS_Annual_Fuel2!$BM$35</c:f>
              <c:strCache>
                <c:ptCount val="1"/>
                <c:pt idx="0">
                  <c:v>AER</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MECS_Annual_Fuel2!$BJ$36:$BJ$68</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MECS_Annual_Fuel2!$BM$36:$BM$68</c:f>
              <c:numCache>
                <c:formatCode>#,##0.0</c:formatCode>
                <c:ptCount val="33"/>
                <c:pt idx="0">
                  <c:v>17433.330000000002</c:v>
                </c:pt>
                <c:pt idx="1">
                  <c:v>17081.349999999999</c:v>
                </c:pt>
                <c:pt idx="2">
                  <c:v>17959.455000000002</c:v>
                </c:pt>
                <c:pt idx="3">
                  <c:v>18789.442999999999</c:v>
                </c:pt>
                <c:pt idx="4">
                  <c:v>18964.764999999999</c:v>
                </c:pt>
                <c:pt idx="5">
                  <c:v>19402.468000000001</c:v>
                </c:pt>
                <c:pt idx="6">
                  <c:v>19083.083999999999</c:v>
                </c:pt>
                <c:pt idx="7">
                  <c:v>19961.138999999999</c:v>
                </c:pt>
                <c:pt idx="8">
                  <c:v>19910.925999999999</c:v>
                </c:pt>
                <c:pt idx="9">
                  <c:v>20406.143</c:v>
                </c:pt>
                <c:pt idx="10">
                  <c:v>20664.989000000001</c:v>
                </c:pt>
                <c:pt idx="11">
                  <c:v>21309.33</c:v>
                </c:pt>
                <c:pt idx="12">
                  <c:v>21562.81</c:v>
                </c:pt>
                <c:pt idx="13">
                  <c:v>21183.828000000001</c:v>
                </c:pt>
                <c:pt idx="14">
                  <c:v>20943.474000000002</c:v>
                </c:pt>
                <c:pt idx="15">
                  <c:v>20819.778000000002</c:v>
                </c:pt>
                <c:pt idx="16">
                  <c:v>20007.338</c:v>
                </c:pt>
                <c:pt idx="17">
                  <c:v>20007.356</c:v>
                </c:pt>
                <c:pt idx="18">
                  <c:v>19744.646000000001</c:v>
                </c:pt>
                <c:pt idx="19">
                  <c:v>20487.963</c:v>
                </c:pt>
                <c:pt idx="20">
                  <c:v>19472.252</c:v>
                </c:pt>
                <c:pt idx="21">
                  <c:v>19529.322</c:v>
                </c:pt>
                <c:pt idx="22">
                  <c:v>19326</c:v>
                </c:pt>
                <c:pt idx="23">
                  <c:v>18419.738000000001</c:v>
                </c:pt>
                <c:pt idx="24">
                  <c:v>16697.764999999999</c:v>
                </c:pt>
                <c:pt idx="25">
                  <c:v>17986.692999999999</c:v>
                </c:pt>
                <c:pt idx="26">
                  <c:v>18092.227999999999</c:v>
                </c:pt>
                <c:pt idx="27">
                  <c:v>18404.710999999999</c:v>
                </c:pt>
                <c:pt idx="28">
                  <c:v>18929.594000000001</c:v>
                </c:pt>
                <c:pt idx="29">
                  <c:v>18970.608</c:v>
                </c:pt>
                <c:pt idx="30">
                  <c:v>18928.817999999999</c:v>
                </c:pt>
                <c:pt idx="31">
                  <c:v>19044.449000000001</c:v>
                </c:pt>
                <c:pt idx="32">
                  <c:v>19471.421000000002</c:v>
                </c:pt>
              </c:numCache>
            </c:numRef>
          </c:val>
          <c:smooth val="0"/>
          <c:extLst>
            <c:ext xmlns:c16="http://schemas.microsoft.com/office/drawing/2014/chart" uri="{C3380CC4-5D6E-409C-BE32-E72D297353CC}">
              <c16:uniqueId val="{00000002-456F-4279-B5A5-C6D74DD46DE6}"/>
            </c:ext>
          </c:extLst>
        </c:ser>
        <c:dLbls>
          <c:showLegendKey val="0"/>
          <c:showVal val="0"/>
          <c:showCatName val="0"/>
          <c:showSerName val="0"/>
          <c:showPercent val="0"/>
          <c:showBubbleSize val="0"/>
        </c:dLbls>
        <c:marker val="1"/>
        <c:smooth val="0"/>
        <c:axId val="129993216"/>
        <c:axId val="131589824"/>
      </c:lineChart>
      <c:catAx>
        <c:axId val="12999321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1589824"/>
        <c:crosses val="autoZero"/>
        <c:auto val="1"/>
        <c:lblAlgn val="ctr"/>
        <c:lblOffset val="100"/>
        <c:tickLblSkip val="2"/>
        <c:tickMarkSkip val="1"/>
        <c:noMultiLvlLbl val="0"/>
      </c:catAx>
      <c:valAx>
        <c:axId val="131589824"/>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993216"/>
        <c:crosses val="autoZero"/>
        <c:crossBetween val="between"/>
      </c:valAx>
      <c:spPr>
        <a:solidFill>
          <a:srgbClr val="C0C0C0"/>
        </a:solidFill>
        <a:ln w="12700">
          <a:solidFill>
            <a:srgbClr val="808080"/>
          </a:solidFill>
          <a:prstDash val="solid"/>
        </a:ln>
      </c:spPr>
    </c:plotArea>
    <c:legend>
      <c:legendPos val="r"/>
      <c:layout>
        <c:manualLayout>
          <c:xMode val="edge"/>
          <c:yMode val="edge"/>
          <c:x val="0.16774677437165009"/>
          <c:y val="0.58920800696257614"/>
          <c:w val="0.17637574429409919"/>
          <c:h val="0.16710182767624016"/>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85305878074734E-2"/>
          <c:y val="6.7708505524967252E-2"/>
          <c:w val="0.7835224274302266"/>
          <c:h val="0.77604364024770167"/>
        </c:manualLayout>
      </c:layout>
      <c:lineChart>
        <c:grouping val="standard"/>
        <c:varyColors val="0"/>
        <c:ser>
          <c:idx val="0"/>
          <c:order val="0"/>
          <c:tx>
            <c:strRef>
              <c:f>MECS_Annual_Fuel1!$F$97</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MECS_Annual_Fuel1!$G$97:$AM$97</c:f>
              <c:numCache>
                <c:formatCode>General</c:formatCode>
                <c:ptCount val="33"/>
                <c:pt idx="0">
                  <c:v>128.43055874180072</c:v>
                </c:pt>
                <c:pt idx="1">
                  <c:v>135.02187702867309</c:v>
                </c:pt>
                <c:pt idx="2">
                  <c:v>151.42293972634729</c:v>
                </c:pt>
                <c:pt idx="3">
                  <c:v>150.36582650079393</c:v>
                </c:pt>
                <c:pt idx="4">
                  <c:v>156.13332627095838</c:v>
                </c:pt>
                <c:pt idx="5">
                  <c:v>135.02276624658089</c:v>
                </c:pt>
                <c:pt idx="6">
                  <c:v>125.61488437265322</c:v>
                </c:pt>
                <c:pt idx="7">
                  <c:v>132.95089229393827</c:v>
                </c:pt>
                <c:pt idx="8">
                  <c:v>136.77256011490636</c:v>
                </c:pt>
                <c:pt idx="9">
                  <c:v>141.58522460569185</c:v>
                </c:pt>
                <c:pt idx="10">
                  <c:v>151.80278514264387</c:v>
                </c:pt>
                <c:pt idx="11">
                  <c:v>145.59186602176126</c:v>
                </c:pt>
                <c:pt idx="12">
                  <c:v>135.30020215581013</c:v>
                </c:pt>
                <c:pt idx="13">
                  <c:v>144.39999600000002</c:v>
                </c:pt>
                <c:pt idx="14">
                  <c:v>163.77373974259751</c:v>
                </c:pt>
                <c:pt idx="15">
                  <c:v>170.55457311273068</c:v>
                </c:pt>
                <c:pt idx="16">
                  <c:v>170.96821812825092</c:v>
                </c:pt>
                <c:pt idx="17">
                  <c:v>166.54642800000002</c:v>
                </c:pt>
                <c:pt idx="18">
                  <c:v>162.38700858836174</c:v>
                </c:pt>
                <c:pt idx="19">
                  <c:v>156.34521408513098</c:v>
                </c:pt>
                <c:pt idx="20">
                  <c:v>150.24560489044413</c:v>
                </c:pt>
                <c:pt idx="21">
                  <c:v>153.785552</c:v>
                </c:pt>
                <c:pt idx="22">
                  <c:v>143.10994103075981</c:v>
                </c:pt>
                <c:pt idx="23">
                  <c:v>118.89421130373546</c:v>
                </c:pt>
                <c:pt idx="24">
                  <c:v>111.58171088640285</c:v>
                </c:pt>
                <c:pt idx="25">
                  <c:v>116</c:v>
                </c:pt>
                <c:pt idx="26">
                  <c:v>114.33836166733738</c:v>
                </c:pt>
                <c:pt idx="27">
                  <c:v>109.54490865472242</c:v>
                </c:pt>
                <c:pt idx="28">
                  <c:v>111.07562545949031</c:v>
                </c:pt>
                <c:pt idx="29">
                  <c:v>104</c:v>
                </c:pt>
                <c:pt idx="30">
                  <c:v>118.14538873303597</c:v>
                </c:pt>
                <c:pt idx="31">
                  <c:v>134.51930028316804</c:v>
                </c:pt>
                <c:pt idx="32">
                  <c:v>157.39604481768811</c:v>
                </c:pt>
              </c:numCache>
            </c:numRef>
          </c:val>
          <c:smooth val="0"/>
          <c:extLst>
            <c:ext xmlns:c16="http://schemas.microsoft.com/office/drawing/2014/chart" uri="{C3380CC4-5D6E-409C-BE32-E72D297353CC}">
              <c16:uniqueId val="{00000000-2B30-4D1B-A140-B10B1B9825A1}"/>
            </c:ext>
          </c:extLst>
        </c:ser>
        <c:ser>
          <c:idx val="1"/>
          <c:order val="1"/>
          <c:tx>
            <c:strRef>
              <c:f>MECS_Annual_Fuel1!$F$98</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MECS_Annual_Fuel1!$G$98:$AM$98</c:f>
              <c:numCache>
                <c:formatCode>General</c:formatCode>
                <c:ptCount val="33"/>
                <c:pt idx="0">
                  <c:v>791.01545520082436</c:v>
                </c:pt>
                <c:pt idx="1">
                  <c:v>833.84549437982139</c:v>
                </c:pt>
                <c:pt idx="2">
                  <c:v>865.36110422201477</c:v>
                </c:pt>
                <c:pt idx="3">
                  <c:v>884.64406029384702</c:v>
                </c:pt>
                <c:pt idx="4">
                  <c:v>872.26871686531888</c:v>
                </c:pt>
                <c:pt idx="5">
                  <c:v>839.79715936733282</c:v>
                </c:pt>
                <c:pt idx="6">
                  <c:v>788.81428212035598</c:v>
                </c:pt>
                <c:pt idx="7">
                  <c:v>834.39754001449057</c:v>
                </c:pt>
                <c:pt idx="8">
                  <c:v>866.94246720947717</c:v>
                </c:pt>
                <c:pt idx="9">
                  <c:v>822.05619657793363</c:v>
                </c:pt>
                <c:pt idx="10">
                  <c:v>836.37810053118699</c:v>
                </c:pt>
                <c:pt idx="11">
                  <c:v>768.59394669215737</c:v>
                </c:pt>
                <c:pt idx="12">
                  <c:v>781.48054541412921</c:v>
                </c:pt>
                <c:pt idx="13">
                  <c:v>834.98687599999994</c:v>
                </c:pt>
                <c:pt idx="14">
                  <c:v>887.75742962271181</c:v>
                </c:pt>
                <c:pt idx="15">
                  <c:v>860.3030388807673</c:v>
                </c:pt>
                <c:pt idx="16">
                  <c:v>844.57954689595817</c:v>
                </c:pt>
                <c:pt idx="17">
                  <c:v>910.76708400000007</c:v>
                </c:pt>
                <c:pt idx="18">
                  <c:v>843.66258808021871</c:v>
                </c:pt>
                <c:pt idx="19">
                  <c:v>846.35668023327139</c:v>
                </c:pt>
                <c:pt idx="20">
                  <c:v>887.23108283057456</c:v>
                </c:pt>
                <c:pt idx="21">
                  <c:v>958.36588800000004</c:v>
                </c:pt>
                <c:pt idx="22">
                  <c:v>888.6890971564701</c:v>
                </c:pt>
                <c:pt idx="23">
                  <c:v>744.58615673498946</c:v>
                </c:pt>
                <c:pt idx="24">
                  <c:v>646.20773136287312</c:v>
                </c:pt>
                <c:pt idx="25">
                  <c:v>600</c:v>
                </c:pt>
                <c:pt idx="26">
                  <c:v>611.9249777848737</c:v>
                </c:pt>
                <c:pt idx="27">
                  <c:v>624.0796384681654</c:v>
                </c:pt>
                <c:pt idx="28">
                  <c:v>679.69946888069933</c:v>
                </c:pt>
                <c:pt idx="29">
                  <c:v>699</c:v>
                </c:pt>
                <c:pt idx="30">
                  <c:v>721.54524566856969</c:v>
                </c:pt>
                <c:pt idx="31">
                  <c:v>777.91367304417702</c:v>
                </c:pt>
                <c:pt idx="32">
                  <c:v>714.07677883262534</c:v>
                </c:pt>
              </c:numCache>
            </c:numRef>
          </c:val>
          <c:smooth val="0"/>
          <c:extLst>
            <c:ext xmlns:c16="http://schemas.microsoft.com/office/drawing/2014/chart" uri="{C3380CC4-5D6E-409C-BE32-E72D297353CC}">
              <c16:uniqueId val="{00000001-2B30-4D1B-A140-B10B1B9825A1}"/>
            </c:ext>
          </c:extLst>
        </c:ser>
        <c:ser>
          <c:idx val="2"/>
          <c:order val="2"/>
          <c:tx>
            <c:strRef>
              <c:f>MECS_Annual_Fuel1!$F$99</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MECS_Annual_Fuel1!$G$99:$AM$99</c:f>
              <c:numCache>
                <c:formatCode>General</c:formatCode>
                <c:ptCount val="33"/>
                <c:pt idx="0">
                  <c:v>1931.5726855408925</c:v>
                </c:pt>
                <c:pt idx="1">
                  <c:v>1819.4681276410374</c:v>
                </c:pt>
                <c:pt idx="2">
                  <c:v>1819.8952963174174</c:v>
                </c:pt>
                <c:pt idx="3">
                  <c:v>2134.8918237453663</c:v>
                </c:pt>
                <c:pt idx="4">
                  <c:v>2135.9489196898717</c:v>
                </c:pt>
                <c:pt idx="5">
                  <c:v>2058.910056035751</c:v>
                </c:pt>
                <c:pt idx="6">
                  <c:v>1811.54797443144</c:v>
                </c:pt>
                <c:pt idx="7">
                  <c:v>1860.7007555363432</c:v>
                </c:pt>
                <c:pt idx="8">
                  <c:v>1980.5512991134312</c:v>
                </c:pt>
                <c:pt idx="9">
                  <c:v>2096.657607556745</c:v>
                </c:pt>
                <c:pt idx="10">
                  <c:v>2018.3220014173257</c:v>
                </c:pt>
                <c:pt idx="11">
                  <c:v>2087.7303780101934</c:v>
                </c:pt>
                <c:pt idx="12">
                  <c:v>2032.416827386887</c:v>
                </c:pt>
                <c:pt idx="13">
                  <c:v>2031.356088</c:v>
                </c:pt>
                <c:pt idx="14">
                  <c:v>1927.9607115402796</c:v>
                </c:pt>
                <c:pt idx="15">
                  <c:v>1984.8032031815608</c:v>
                </c:pt>
                <c:pt idx="16">
                  <c:v>1881.1112478914877</c:v>
                </c:pt>
                <c:pt idx="17">
                  <c:v>1629.9591760000001</c:v>
                </c:pt>
                <c:pt idx="18">
                  <c:v>1681.9663811639548</c:v>
                </c:pt>
                <c:pt idx="19">
                  <c:v>1709.7117812587637</c:v>
                </c:pt>
                <c:pt idx="20">
                  <c:v>1414.7412336622619</c:v>
                </c:pt>
                <c:pt idx="21">
                  <c:v>1285.6831</c:v>
                </c:pt>
                <c:pt idx="22">
                  <c:v>1398.596658536504</c:v>
                </c:pt>
                <c:pt idx="23">
                  <c:v>1367.2205669627242</c:v>
                </c:pt>
                <c:pt idx="24">
                  <c:v>960.90080405798346</c:v>
                </c:pt>
                <c:pt idx="25">
                  <c:v>1255</c:v>
                </c:pt>
                <c:pt idx="26">
                  <c:v>1260.1959118059083</c:v>
                </c:pt>
                <c:pt idx="27">
                  <c:v>1098.7242374193011</c:v>
                </c:pt>
                <c:pt idx="28">
                  <c:v>1200.1910170523031</c:v>
                </c:pt>
                <c:pt idx="29">
                  <c:v>1251</c:v>
                </c:pt>
                <c:pt idx="30">
                  <c:v>1037.5190144924757</c:v>
                </c:pt>
                <c:pt idx="31">
                  <c:v>971.67780208199395</c:v>
                </c:pt>
                <c:pt idx="32">
                  <c:v>984.99162402591401</c:v>
                </c:pt>
              </c:numCache>
            </c:numRef>
          </c:val>
          <c:smooth val="0"/>
          <c:extLst>
            <c:ext xmlns:c16="http://schemas.microsoft.com/office/drawing/2014/chart" uri="{C3380CC4-5D6E-409C-BE32-E72D297353CC}">
              <c16:uniqueId val="{00000002-2B30-4D1B-A140-B10B1B9825A1}"/>
            </c:ext>
          </c:extLst>
        </c:ser>
        <c:ser>
          <c:idx val="3"/>
          <c:order val="3"/>
          <c:tx>
            <c:strRef>
              <c:f>MECS_Annual_Fuel1!$F$100</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MECS_Annual_Fuel1!$G$96:$AM$96</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MECS_Annual_Fuel1!$G$100:$AM$100</c:f>
              <c:numCache>
                <c:formatCode>General</c:formatCode>
                <c:ptCount val="33"/>
                <c:pt idx="0">
                  <c:v>218.6220851003327</c:v>
                </c:pt>
                <c:pt idx="1">
                  <c:v>236.43141790334087</c:v>
                </c:pt>
                <c:pt idx="2">
                  <c:v>242.60813301921721</c:v>
                </c:pt>
                <c:pt idx="3">
                  <c:v>251.14969713900282</c:v>
                </c:pt>
                <c:pt idx="4">
                  <c:v>241.61252681571094</c:v>
                </c:pt>
                <c:pt idx="5">
                  <c:v>222.61909858361435</c:v>
                </c:pt>
                <c:pt idx="6">
                  <c:v>217.28105279356296</c:v>
                </c:pt>
                <c:pt idx="7">
                  <c:v>221.51344199750795</c:v>
                </c:pt>
                <c:pt idx="8">
                  <c:v>238.70978614279537</c:v>
                </c:pt>
                <c:pt idx="9">
                  <c:v>263.57968281835372</c:v>
                </c:pt>
                <c:pt idx="10">
                  <c:v>289.62365431759213</c:v>
                </c:pt>
                <c:pt idx="11">
                  <c:v>248.28781667305427</c:v>
                </c:pt>
                <c:pt idx="12">
                  <c:v>234.68145352408129</c:v>
                </c:pt>
                <c:pt idx="13">
                  <c:v>265.28541200000001</c:v>
                </c:pt>
                <c:pt idx="14">
                  <c:v>288.74371654908276</c:v>
                </c:pt>
                <c:pt idx="15">
                  <c:v>253.16629233678722</c:v>
                </c:pt>
                <c:pt idx="16">
                  <c:v>236.80312759318167</c:v>
                </c:pt>
                <c:pt idx="17">
                  <c:v>226.21632399999999</c:v>
                </c:pt>
                <c:pt idx="18">
                  <c:v>210.87604467529428</c:v>
                </c:pt>
                <c:pt idx="19">
                  <c:v>206.00060290700236</c:v>
                </c:pt>
                <c:pt idx="20">
                  <c:v>209.91812999611622</c:v>
                </c:pt>
                <c:pt idx="21">
                  <c:v>253.81542000000002</c:v>
                </c:pt>
                <c:pt idx="22">
                  <c:v>236.27608038255704</c:v>
                </c:pt>
                <c:pt idx="23">
                  <c:v>186.52536210085808</c:v>
                </c:pt>
                <c:pt idx="24">
                  <c:v>192.36823377378479</c:v>
                </c:pt>
                <c:pt idx="25">
                  <c:v>174</c:v>
                </c:pt>
                <c:pt idx="26">
                  <c:v>188.724641806542</c:v>
                </c:pt>
                <c:pt idx="27">
                  <c:v>193.8473245114659</c:v>
                </c:pt>
                <c:pt idx="28">
                  <c:v>197.31845463184905</c:v>
                </c:pt>
                <c:pt idx="29">
                  <c:v>201</c:v>
                </c:pt>
                <c:pt idx="30">
                  <c:v>243.17904468805639</c:v>
                </c:pt>
                <c:pt idx="31">
                  <c:v>263.59014611965085</c:v>
                </c:pt>
                <c:pt idx="32">
                  <c:v>244.97167709150528</c:v>
                </c:pt>
              </c:numCache>
            </c:numRef>
          </c:val>
          <c:smooth val="0"/>
          <c:extLst>
            <c:ext xmlns:c16="http://schemas.microsoft.com/office/drawing/2014/chart" uri="{C3380CC4-5D6E-409C-BE32-E72D297353CC}">
              <c16:uniqueId val="{00000003-2B30-4D1B-A140-B10B1B9825A1}"/>
            </c:ext>
          </c:extLst>
        </c:ser>
        <c:dLbls>
          <c:showLegendKey val="0"/>
          <c:showVal val="0"/>
          <c:showCatName val="0"/>
          <c:showSerName val="0"/>
          <c:showPercent val="0"/>
          <c:showBubbleSize val="0"/>
        </c:dLbls>
        <c:marker val="1"/>
        <c:smooth val="0"/>
        <c:axId val="129993728"/>
        <c:axId val="131591552"/>
      </c:lineChart>
      <c:catAx>
        <c:axId val="12999372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1591552"/>
        <c:crosses val="autoZero"/>
        <c:auto val="1"/>
        <c:lblAlgn val="ctr"/>
        <c:lblOffset val="100"/>
        <c:tickLblSkip val="2"/>
        <c:tickMarkSkip val="1"/>
        <c:noMultiLvlLbl val="0"/>
      </c:catAx>
      <c:valAx>
        <c:axId val="13159155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993728"/>
        <c:crosses val="autoZero"/>
        <c:crossBetween val="between"/>
      </c:valAx>
      <c:spPr>
        <a:solidFill>
          <a:srgbClr val="C0C0C0"/>
        </a:solidFill>
        <a:ln w="12700">
          <a:solidFill>
            <a:srgbClr val="808080"/>
          </a:solidFill>
          <a:prstDash val="solid"/>
        </a:ln>
      </c:spPr>
    </c:plotArea>
    <c:legend>
      <c:legendPos val="r"/>
      <c:layout>
        <c:manualLayout>
          <c:xMode val="edge"/>
          <c:yMode val="edge"/>
          <c:x val="0.89014607422860503"/>
          <c:y val="0.34635498687664046"/>
          <c:w val="9.6930533117932094E-2"/>
          <c:h val="0.2213547134733158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544487663197686E-2"/>
          <c:y val="6.7708505524967252E-2"/>
          <c:w val="0.79483099854777628"/>
          <c:h val="0.77604364024770167"/>
        </c:manualLayout>
      </c:layout>
      <c:lineChart>
        <c:grouping val="standard"/>
        <c:varyColors val="0"/>
        <c:ser>
          <c:idx val="0"/>
          <c:order val="0"/>
          <c:tx>
            <c:strRef>
              <c:f>MECS_Annual_Fuel1!$F$118</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MECS_Annual_Fuel1!$G$117:$AM$117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MECS_Annual_Fuel1!$G$118:$AM$118</c:f>
              <c:numCache>
                <c:formatCode>General</c:formatCode>
                <c:ptCount val="33"/>
                <c:pt idx="0">
                  <c:v>118.55685257512636</c:v>
                </c:pt>
                <c:pt idx="1">
                  <c:v>131.76262360948817</c:v>
                </c:pt>
                <c:pt idx="2">
                  <c:v>133.59407668064966</c:v>
                </c:pt>
                <c:pt idx="3">
                  <c:v>138.88393804304263</c:v>
                </c:pt>
                <c:pt idx="4">
                  <c:v>135.84765730352257</c:v>
                </c:pt>
                <c:pt idx="5">
                  <c:v>120.63206911012374</c:v>
                </c:pt>
                <c:pt idx="6">
                  <c:v>113.47965946591772</c:v>
                </c:pt>
                <c:pt idx="7">
                  <c:v>107.05467343210731</c:v>
                </c:pt>
                <c:pt idx="8">
                  <c:v>108.0675573372492</c:v>
                </c:pt>
                <c:pt idx="9">
                  <c:v>112.92234511482371</c:v>
                </c:pt>
                <c:pt idx="10">
                  <c:v>126.83165939971266</c:v>
                </c:pt>
                <c:pt idx="11">
                  <c:v>112.60870645818754</c:v>
                </c:pt>
                <c:pt idx="12">
                  <c:v>106.43670136428443</c:v>
                </c:pt>
                <c:pt idx="13">
                  <c:v>116.85666400000001</c:v>
                </c:pt>
                <c:pt idx="14">
                  <c:v>123.53689957565348</c:v>
                </c:pt>
                <c:pt idx="15">
                  <c:v>105.82598083764137</c:v>
                </c:pt>
                <c:pt idx="16">
                  <c:v>100.6870972290484</c:v>
                </c:pt>
                <c:pt idx="17">
                  <c:v>91.191044000000005</c:v>
                </c:pt>
                <c:pt idx="18">
                  <c:v>77.406168726625395</c:v>
                </c:pt>
                <c:pt idx="19">
                  <c:v>80.038938927797375</c:v>
                </c:pt>
                <c:pt idx="20">
                  <c:v>81.01961365117613</c:v>
                </c:pt>
                <c:pt idx="21">
                  <c:v>93.471671999999998</c:v>
                </c:pt>
                <c:pt idx="22">
                  <c:v>100.2520387130355</c:v>
                </c:pt>
                <c:pt idx="23">
                  <c:v>78.853051261641937</c:v>
                </c:pt>
                <c:pt idx="24">
                  <c:v>87.825004558862744</c:v>
                </c:pt>
                <c:pt idx="25">
                  <c:v>78</c:v>
                </c:pt>
                <c:pt idx="26">
                  <c:v>87.855529195606763</c:v>
                </c:pt>
                <c:pt idx="27">
                  <c:v>83.277537047934089</c:v>
                </c:pt>
                <c:pt idx="28">
                  <c:v>85.159713195512765</c:v>
                </c:pt>
                <c:pt idx="29">
                  <c:v>84</c:v>
                </c:pt>
                <c:pt idx="30">
                  <c:v>91.210008731150793</c:v>
                </c:pt>
                <c:pt idx="31">
                  <c:v>95.547646245422513</c:v>
                </c:pt>
                <c:pt idx="32">
                  <c:v>93.885723189927347</c:v>
                </c:pt>
              </c:numCache>
            </c:numRef>
          </c:val>
          <c:smooth val="0"/>
          <c:extLst>
            <c:ext xmlns:c16="http://schemas.microsoft.com/office/drawing/2014/chart" uri="{C3380CC4-5D6E-409C-BE32-E72D297353CC}">
              <c16:uniqueId val="{00000000-CF12-4411-ACA7-D783424276B8}"/>
            </c:ext>
          </c:extLst>
        </c:ser>
        <c:ser>
          <c:idx val="1"/>
          <c:order val="1"/>
          <c:tx>
            <c:strRef>
              <c:f>MECS_Annual_Fuel1!$F$119</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MECS_Annual_Fuel1!$G$117:$AM$117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MECS_Annual_Fuel1!$G$119:$AM$119</c:f>
              <c:numCache>
                <c:formatCode>General</c:formatCode>
                <c:ptCount val="33"/>
                <c:pt idx="0">
                  <c:v>54.789455724294967</c:v>
                </c:pt>
                <c:pt idx="1">
                  <c:v>56.773381394787812</c:v>
                </c:pt>
                <c:pt idx="2">
                  <c:v>60.400035479019486</c:v>
                </c:pt>
                <c:pt idx="3">
                  <c:v>62.693189717341816</c:v>
                </c:pt>
                <c:pt idx="4">
                  <c:v>62.697248115282292</c:v>
                </c:pt>
                <c:pt idx="5">
                  <c:v>58.165999612572094</c:v>
                </c:pt>
                <c:pt idx="6">
                  <c:v>56.220714404637988</c:v>
                </c:pt>
                <c:pt idx="7">
                  <c:v>60.22308177563918</c:v>
                </c:pt>
                <c:pt idx="8">
                  <c:v>64.59076180040033</c:v>
                </c:pt>
                <c:pt idx="9">
                  <c:v>66.930484972733723</c:v>
                </c:pt>
                <c:pt idx="10">
                  <c:v>73.038453387793254</c:v>
                </c:pt>
                <c:pt idx="11">
                  <c:v>72.049060260742735</c:v>
                </c:pt>
                <c:pt idx="12">
                  <c:v>65.619117583298419</c:v>
                </c:pt>
                <c:pt idx="13">
                  <c:v>67.813715999999999</c:v>
                </c:pt>
                <c:pt idx="14">
                  <c:v>75.412349760347183</c:v>
                </c:pt>
                <c:pt idx="15">
                  <c:v>77.55543180251361</c:v>
                </c:pt>
                <c:pt idx="16">
                  <c:v>65.334678752934266</c:v>
                </c:pt>
                <c:pt idx="17">
                  <c:v>69.142976000000004</c:v>
                </c:pt>
                <c:pt idx="18">
                  <c:v>51.968914187404209</c:v>
                </c:pt>
                <c:pt idx="19">
                  <c:v>42.613564787609363</c:v>
                </c:pt>
                <c:pt idx="20">
                  <c:v>42.539054285313028</c:v>
                </c:pt>
                <c:pt idx="21">
                  <c:v>47.139291999999998</c:v>
                </c:pt>
                <c:pt idx="22">
                  <c:v>59.317149731278079</c:v>
                </c:pt>
                <c:pt idx="23">
                  <c:v>43.705219316728574</c:v>
                </c:pt>
                <c:pt idx="24">
                  <c:v>43.349239751799061</c:v>
                </c:pt>
                <c:pt idx="25">
                  <c:v>43</c:v>
                </c:pt>
                <c:pt idx="26">
                  <c:v>49.219159610574309</c:v>
                </c:pt>
                <c:pt idx="27">
                  <c:v>52.591791695115887</c:v>
                </c:pt>
                <c:pt idx="28">
                  <c:v>49.834979659611527</c:v>
                </c:pt>
                <c:pt idx="29">
                  <c:v>50</c:v>
                </c:pt>
                <c:pt idx="30">
                  <c:v>67.394282393857807</c:v>
                </c:pt>
                <c:pt idx="31">
                  <c:v>78.148456594430797</c:v>
                </c:pt>
                <c:pt idx="32">
                  <c:v>115.00668055372442</c:v>
                </c:pt>
              </c:numCache>
            </c:numRef>
          </c:val>
          <c:smooth val="0"/>
          <c:extLst>
            <c:ext xmlns:c16="http://schemas.microsoft.com/office/drawing/2014/chart" uri="{C3380CC4-5D6E-409C-BE32-E72D297353CC}">
              <c16:uniqueId val="{00000001-CF12-4411-ACA7-D783424276B8}"/>
            </c:ext>
          </c:extLst>
        </c:ser>
        <c:ser>
          <c:idx val="2"/>
          <c:order val="2"/>
          <c:tx>
            <c:strRef>
              <c:f>MECS_Annual_Fuel1!$F$120</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MECS_Annual_Fuel1!$G$117:$AM$117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MECS_Annual_Fuel1!$G$120:$AM$120</c:f>
              <c:numCache>
                <c:formatCode>General</c:formatCode>
                <c:ptCount val="33"/>
                <c:pt idx="0">
                  <c:v>62.919467623803939</c:v>
                </c:pt>
                <c:pt idx="1">
                  <c:v>69.916919680982033</c:v>
                </c:pt>
                <c:pt idx="2">
                  <c:v>67.361584373291663</c:v>
                </c:pt>
                <c:pt idx="3">
                  <c:v>64.55717435203718</c:v>
                </c:pt>
                <c:pt idx="4">
                  <c:v>64.994227835018435</c:v>
                </c:pt>
                <c:pt idx="5">
                  <c:v>57.975944538459906</c:v>
                </c:pt>
                <c:pt idx="6">
                  <c:v>55.611292613491038</c:v>
                </c:pt>
                <c:pt idx="7">
                  <c:v>57.234985489425249</c:v>
                </c:pt>
                <c:pt idx="8">
                  <c:v>62.688490345889321</c:v>
                </c:pt>
                <c:pt idx="9">
                  <c:v>67.848599515192888</c:v>
                </c:pt>
                <c:pt idx="10">
                  <c:v>77.856750209741236</c:v>
                </c:pt>
                <c:pt idx="11">
                  <c:v>67.460163031968875</c:v>
                </c:pt>
                <c:pt idx="12">
                  <c:v>58.848707074425718</c:v>
                </c:pt>
                <c:pt idx="13">
                  <c:v>60.671008</c:v>
                </c:pt>
                <c:pt idx="14">
                  <c:v>66.741514974897328</c:v>
                </c:pt>
                <c:pt idx="15">
                  <c:v>60.834662292932563</c:v>
                </c:pt>
                <c:pt idx="16">
                  <c:v>57.139295822194057</c:v>
                </c:pt>
                <c:pt idx="17">
                  <c:v>55.569788000000003</c:v>
                </c:pt>
                <c:pt idx="18">
                  <c:v>46.141970005738216</c:v>
                </c:pt>
                <c:pt idx="19">
                  <c:v>40.590875635963556</c:v>
                </c:pt>
                <c:pt idx="20">
                  <c:v>39.675361294282581</c:v>
                </c:pt>
                <c:pt idx="21">
                  <c:v>43.097796000000002</c:v>
                </c:pt>
                <c:pt idx="22">
                  <c:v>45.825803281131591</c:v>
                </c:pt>
                <c:pt idx="23">
                  <c:v>37.150422470058906</c:v>
                </c:pt>
                <c:pt idx="24">
                  <c:v>36.104547894183433</c:v>
                </c:pt>
                <c:pt idx="25">
                  <c:v>38</c:v>
                </c:pt>
                <c:pt idx="26">
                  <c:v>37.494398211204988</c:v>
                </c:pt>
                <c:pt idx="27">
                  <c:v>33.121930438388155</c:v>
                </c:pt>
                <c:pt idx="28">
                  <c:v>28.316056303566675</c:v>
                </c:pt>
                <c:pt idx="29">
                  <c:v>31</c:v>
                </c:pt>
                <c:pt idx="30">
                  <c:v>36.617221564145147</c:v>
                </c:pt>
                <c:pt idx="31">
                  <c:v>40.504609252761661</c:v>
                </c:pt>
                <c:pt idx="32">
                  <c:v>37.768124814892275</c:v>
                </c:pt>
              </c:numCache>
            </c:numRef>
          </c:val>
          <c:smooth val="0"/>
          <c:extLst>
            <c:ext xmlns:c16="http://schemas.microsoft.com/office/drawing/2014/chart" uri="{C3380CC4-5D6E-409C-BE32-E72D297353CC}">
              <c16:uniqueId val="{00000002-CF12-4411-ACA7-D783424276B8}"/>
            </c:ext>
          </c:extLst>
        </c:ser>
        <c:ser>
          <c:idx val="3"/>
          <c:order val="3"/>
          <c:tx>
            <c:strRef>
              <c:f>MECS_Annual_Fuel1!$F$121</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MECS_Annual_Fuel1!$G$117:$AM$117</c:f>
              <c:numCache>
                <c:formatCode>General</c:formatCode>
                <c:ptCount val="3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numCache>
            </c:numRef>
          </c:cat>
          <c:val>
            <c:numRef>
              <c:f>MECS_Annual_Fuel1!$G$121:$AM$121</c:f>
              <c:numCache>
                <c:formatCode>General</c:formatCode>
                <c:ptCount val="33"/>
                <c:pt idx="0">
                  <c:v>234.98001273849101</c:v>
                </c:pt>
                <c:pt idx="1">
                  <c:v>244.14932796917603</c:v>
                </c:pt>
                <c:pt idx="2">
                  <c:v>242.38099655777575</c:v>
                </c:pt>
                <c:pt idx="3">
                  <c:v>254.78050349600764</c:v>
                </c:pt>
                <c:pt idx="4">
                  <c:v>251.14742131079424</c:v>
                </c:pt>
                <c:pt idx="5">
                  <c:v>237.32816845389928</c:v>
                </c:pt>
                <c:pt idx="6">
                  <c:v>244.13057132985355</c:v>
                </c:pt>
                <c:pt idx="7">
                  <c:v>253.07663671240181</c:v>
                </c:pt>
                <c:pt idx="8">
                  <c:v>281.57130919761488</c:v>
                </c:pt>
                <c:pt idx="9">
                  <c:v>260.23443301298028</c:v>
                </c:pt>
                <c:pt idx="10">
                  <c:v>278.41898668330401</c:v>
                </c:pt>
                <c:pt idx="11">
                  <c:v>260.19136025138812</c:v>
                </c:pt>
                <c:pt idx="12">
                  <c:v>258.23641416413506</c:v>
                </c:pt>
                <c:pt idx="13">
                  <c:v>292.75512400000002</c:v>
                </c:pt>
                <c:pt idx="14">
                  <c:v>276.64336592279864</c:v>
                </c:pt>
                <c:pt idx="15">
                  <c:v>246.84021245432757</c:v>
                </c:pt>
                <c:pt idx="16">
                  <c:v>257.20038854295694</c:v>
                </c:pt>
                <c:pt idx="17">
                  <c:v>251.66670399999998</c:v>
                </c:pt>
                <c:pt idx="18">
                  <c:v>229.98821579246055</c:v>
                </c:pt>
                <c:pt idx="19">
                  <c:v>241.72063665115977</c:v>
                </c:pt>
                <c:pt idx="20">
                  <c:v>235.38043019571958</c:v>
                </c:pt>
                <c:pt idx="21">
                  <c:v>283.93937199999999</c:v>
                </c:pt>
                <c:pt idx="22">
                  <c:v>255.92503066606668</c:v>
                </c:pt>
                <c:pt idx="23">
                  <c:v>178.02133203826156</c:v>
                </c:pt>
                <c:pt idx="24">
                  <c:v>172.38272816028737</c:v>
                </c:pt>
                <c:pt idx="25">
                  <c:v>143</c:v>
                </c:pt>
                <c:pt idx="26">
                  <c:v>150.92000632672566</c:v>
                </c:pt>
                <c:pt idx="27">
                  <c:v>147.50185586468626</c:v>
                </c:pt>
                <c:pt idx="28">
                  <c:v>152.54903819923609</c:v>
                </c:pt>
                <c:pt idx="29">
                  <c:v>164</c:v>
                </c:pt>
                <c:pt idx="30">
                  <c:v>195.87148502702223</c:v>
                </c:pt>
                <c:pt idx="31">
                  <c:v>208.49515535683466</c:v>
                </c:pt>
                <c:pt idx="32">
                  <c:v>179.8142879532501</c:v>
                </c:pt>
              </c:numCache>
            </c:numRef>
          </c:val>
          <c:smooth val="0"/>
          <c:extLst>
            <c:ext xmlns:c16="http://schemas.microsoft.com/office/drawing/2014/chart" uri="{C3380CC4-5D6E-409C-BE32-E72D297353CC}">
              <c16:uniqueId val="{00000003-CF12-4411-ACA7-D783424276B8}"/>
            </c:ext>
          </c:extLst>
        </c:ser>
        <c:dLbls>
          <c:showLegendKey val="0"/>
          <c:showVal val="0"/>
          <c:showCatName val="0"/>
          <c:showSerName val="0"/>
          <c:showPercent val="0"/>
          <c:showBubbleSize val="0"/>
        </c:dLbls>
        <c:marker val="1"/>
        <c:smooth val="0"/>
        <c:axId val="129994240"/>
        <c:axId val="131593856"/>
      </c:lineChart>
      <c:catAx>
        <c:axId val="12999424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1593856"/>
        <c:crosses val="autoZero"/>
        <c:auto val="1"/>
        <c:lblAlgn val="ctr"/>
        <c:lblOffset val="100"/>
        <c:tickLblSkip val="2"/>
        <c:tickMarkSkip val="1"/>
        <c:noMultiLvlLbl val="0"/>
      </c:catAx>
      <c:valAx>
        <c:axId val="13159385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994240"/>
        <c:crosses val="autoZero"/>
        <c:crossBetween val="between"/>
      </c:valAx>
      <c:spPr>
        <a:solidFill>
          <a:srgbClr val="C0C0C0"/>
        </a:solidFill>
        <a:ln w="12700">
          <a:solidFill>
            <a:srgbClr val="808080"/>
          </a:solidFill>
          <a:prstDash val="solid"/>
        </a:ln>
      </c:spPr>
    </c:plotArea>
    <c:legend>
      <c:legendPos val="r"/>
      <c:layout>
        <c:manualLayout>
          <c:xMode val="edge"/>
          <c:yMode val="edge"/>
          <c:x val="0.89014607422860503"/>
          <c:y val="0.34635498687664046"/>
          <c:w val="9.6930533117932094E-2"/>
          <c:h val="0.2213547134733158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038834951456311"/>
          <c:y val="6.7885117493472591E-2"/>
          <c:w val="0.84466019417475724"/>
          <c:h val="0.76501305483028725"/>
        </c:manualLayout>
      </c:layout>
      <c:lineChart>
        <c:grouping val="standard"/>
        <c:varyColors val="0"/>
        <c:ser>
          <c:idx val="0"/>
          <c:order val="0"/>
          <c:tx>
            <c:strRef>
              <c:f>MECS_Annual_Fuel2!$DL$35</c:f>
              <c:strCache>
                <c:ptCount val="1"/>
                <c:pt idx="0">
                  <c:v>Mix</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MECS_Annual_Fuel2!$DK$36:$DK$64</c:f>
              <c:numCache>
                <c:formatCode>General</c:formatCode>
                <c:ptCount val="29"/>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numCache>
            </c:numRef>
          </c:cat>
          <c:val>
            <c:numRef>
              <c:f>MECS_Annual_Fuel2!$DL$36:$DL$64</c:f>
              <c:numCache>
                <c:formatCode>#,##0</c:formatCode>
                <c:ptCount val="29"/>
                <c:pt idx="0">
                  <c:v>11405.381661116657</c:v>
                </c:pt>
                <c:pt idx="1">
                  <c:v>11805.180783452881</c:v>
                </c:pt>
                <c:pt idx="2">
                  <c:v>12072.928350736656</c:v>
                </c:pt>
                <c:pt idx="3">
                  <c:v>13042.115484022981</c:v>
                </c:pt>
                <c:pt idx="4">
                  <c:v>13104.265331447779</c:v>
                </c:pt>
                <c:pt idx="5">
                  <c:v>13103.425439913102</c:v>
                </c:pt>
                <c:pt idx="6">
                  <c:v>12599.548369464048</c:v>
                </c:pt>
                <c:pt idx="7">
                  <c:v>12996.418569503452</c:v>
                </c:pt>
                <c:pt idx="8">
                  <c:v>13376.494235228505</c:v>
                </c:pt>
                <c:pt idx="9">
                  <c:v>13805.955934019132</c:v>
                </c:pt>
                <c:pt idx="10">
                  <c:v>14211.777729152858</c:v>
                </c:pt>
                <c:pt idx="11">
                  <c:v>14258.316948536629</c:v>
                </c:pt>
                <c:pt idx="12">
                  <c:v>14245.009418160424</c:v>
                </c:pt>
                <c:pt idx="13">
                  <c:v>14659.114711999997</c:v>
                </c:pt>
                <c:pt idx="14">
                  <c:v>14920.161681155838</c:v>
                </c:pt>
                <c:pt idx="15">
                  <c:v>14785.024832475434</c:v>
                </c:pt>
                <c:pt idx="16">
                  <c:v>14295.866372999417</c:v>
                </c:pt>
                <c:pt idx="17">
                  <c:v>13433.641368000002</c:v>
                </c:pt>
                <c:pt idx="18">
                  <c:v>13113.137221225885</c:v>
                </c:pt>
                <c:pt idx="19">
                  <c:v>12950.8719434869</c:v>
                </c:pt>
                <c:pt idx="20">
                  <c:v>12740.8006945982</c:v>
                </c:pt>
                <c:pt idx="21">
                  <c:v>12805.585636000002</c:v>
                </c:pt>
                <c:pt idx="22">
                  <c:v>12902.103729277938</c:v>
                </c:pt>
                <c:pt idx="23">
                  <c:v>12229.231348957175</c:v>
                </c:pt>
                <c:pt idx="24">
                  <c:v>11278.299924045068</c:v>
                </c:pt>
                <c:pt idx="25">
                  <c:v>11795</c:v>
                </c:pt>
                <c:pt idx="26">
                  <c:v>11661.920733035413</c:v>
                </c:pt>
                <c:pt idx="27">
                  <c:v>11017.078970851395</c:v>
                </c:pt>
                <c:pt idx="28">
                  <c:v>11929.722103697588</c:v>
                </c:pt>
              </c:numCache>
            </c:numRef>
          </c:val>
          <c:smooth val="0"/>
          <c:extLst>
            <c:ext xmlns:c16="http://schemas.microsoft.com/office/drawing/2014/chart" uri="{C3380CC4-5D6E-409C-BE32-E72D297353CC}">
              <c16:uniqueId val="{00000000-B6BB-4F16-861B-EE4F2CF9B49E}"/>
            </c:ext>
          </c:extLst>
        </c:ser>
        <c:ser>
          <c:idx val="1"/>
          <c:order val="1"/>
          <c:tx>
            <c:strRef>
              <c:f>MECS_Annual_Fuel2!$DM$35</c:f>
              <c:strCache>
                <c:ptCount val="1"/>
                <c:pt idx="0">
                  <c:v>MER-Fossil</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MECS_Annual_Fuel2!$DK$36:$DK$64</c:f>
              <c:numCache>
                <c:formatCode>General</c:formatCode>
                <c:ptCount val="29"/>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numCache>
            </c:numRef>
          </c:cat>
          <c:val>
            <c:numRef>
              <c:f>MECS_Annual_Fuel2!$DM$36:$DM$64</c:f>
              <c:numCache>
                <c:formatCode>#,##0</c:formatCode>
                <c:ptCount val="29"/>
                <c:pt idx="0">
                  <c:v>17433.330000000002</c:v>
                </c:pt>
                <c:pt idx="1">
                  <c:v>17081.349999999999</c:v>
                </c:pt>
                <c:pt idx="2">
                  <c:v>17959.455000000002</c:v>
                </c:pt>
                <c:pt idx="3">
                  <c:v>18789.442999999999</c:v>
                </c:pt>
                <c:pt idx="4">
                  <c:v>18964.764999999999</c:v>
                </c:pt>
                <c:pt idx="5">
                  <c:v>19402.468000000001</c:v>
                </c:pt>
                <c:pt idx="6">
                  <c:v>19083.083999999999</c:v>
                </c:pt>
                <c:pt idx="7">
                  <c:v>19961.138999999999</c:v>
                </c:pt>
                <c:pt idx="8">
                  <c:v>19910.925999999999</c:v>
                </c:pt>
                <c:pt idx="9">
                  <c:v>20406.143</c:v>
                </c:pt>
                <c:pt idx="10">
                  <c:v>20664.989000000001</c:v>
                </c:pt>
                <c:pt idx="11">
                  <c:v>21309.33</c:v>
                </c:pt>
                <c:pt idx="12">
                  <c:v>21562.81</c:v>
                </c:pt>
                <c:pt idx="13">
                  <c:v>21183.828000000001</c:v>
                </c:pt>
                <c:pt idx="14">
                  <c:v>20943.473999999998</c:v>
                </c:pt>
                <c:pt idx="15">
                  <c:v>20819.777999999998</c:v>
                </c:pt>
                <c:pt idx="16">
                  <c:v>20007.338</c:v>
                </c:pt>
                <c:pt idx="17">
                  <c:v>20007.356</c:v>
                </c:pt>
                <c:pt idx="18">
                  <c:v>19744.646000000001</c:v>
                </c:pt>
                <c:pt idx="19">
                  <c:v>20487.963</c:v>
                </c:pt>
                <c:pt idx="20">
                  <c:v>19472.252</c:v>
                </c:pt>
                <c:pt idx="21">
                  <c:v>19529.322</c:v>
                </c:pt>
                <c:pt idx="22">
                  <c:v>19326</c:v>
                </c:pt>
                <c:pt idx="23">
                  <c:v>18419.738000000001</c:v>
                </c:pt>
                <c:pt idx="24">
                  <c:v>16697.764999999999</c:v>
                </c:pt>
                <c:pt idx="25">
                  <c:v>17986.692999999999</c:v>
                </c:pt>
                <c:pt idx="26">
                  <c:v>18092.227999999999</c:v>
                </c:pt>
                <c:pt idx="27">
                  <c:v>18404.710999999999</c:v>
                </c:pt>
                <c:pt idx="28">
                  <c:v>18929.594000000001</c:v>
                </c:pt>
              </c:numCache>
            </c:numRef>
          </c:val>
          <c:smooth val="0"/>
          <c:extLst>
            <c:ext xmlns:c16="http://schemas.microsoft.com/office/drawing/2014/chart" uri="{C3380CC4-5D6E-409C-BE32-E72D297353CC}">
              <c16:uniqueId val="{00000001-B6BB-4F16-861B-EE4F2CF9B49E}"/>
            </c:ext>
          </c:extLst>
        </c:ser>
        <c:dLbls>
          <c:showLegendKey val="0"/>
          <c:showVal val="0"/>
          <c:showCatName val="0"/>
          <c:showSerName val="0"/>
          <c:showPercent val="0"/>
          <c:showBubbleSize val="0"/>
        </c:dLbls>
        <c:marker val="1"/>
        <c:smooth val="0"/>
        <c:axId val="131961344"/>
        <c:axId val="132071424"/>
      </c:lineChart>
      <c:catAx>
        <c:axId val="1319613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071424"/>
        <c:crosses val="autoZero"/>
        <c:auto val="1"/>
        <c:lblAlgn val="ctr"/>
        <c:lblOffset val="100"/>
        <c:tickLblSkip val="3"/>
        <c:tickMarkSkip val="1"/>
        <c:noMultiLvlLbl val="0"/>
      </c:catAx>
      <c:valAx>
        <c:axId val="132071424"/>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1961344"/>
        <c:crosses val="autoZero"/>
        <c:crossBetween val="between"/>
      </c:valAx>
      <c:spPr>
        <a:solidFill>
          <a:srgbClr val="C0C0C0"/>
        </a:solidFill>
        <a:ln w="12700">
          <a:solidFill>
            <a:srgbClr val="808080"/>
          </a:solidFill>
          <a:prstDash val="solid"/>
        </a:ln>
      </c:spPr>
    </c:plotArea>
    <c:legend>
      <c:legendPos val="r"/>
      <c:layout>
        <c:manualLayout>
          <c:xMode val="edge"/>
          <c:yMode val="edge"/>
          <c:x val="0.22912621359223301"/>
          <c:y val="0.61096605744125332"/>
          <c:w val="0.12815533980582522"/>
          <c:h val="0.1122715404699739"/>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927161151536269"/>
          <c:y val="7.0652173913043473E-2"/>
          <c:w val="0.75993438917502232"/>
          <c:h val="0.81793478260869568"/>
        </c:manualLayout>
      </c:layout>
      <c:lineChart>
        <c:grouping val="standard"/>
        <c:varyColors val="0"/>
        <c:ser>
          <c:idx val="0"/>
          <c:order val="0"/>
          <c:tx>
            <c:strRef>
              <c:f>ASM_Annual_Fuel3_1970on!$F$54</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ASM_Annual_Fuel3_1970on!$G$53:$AU$53</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ASM_Annual_Fuel3_1970on!$G$54:$AU$54</c:f>
              <c:numCache>
                <c:formatCode>0.00</c:formatCode>
                <c:ptCount val="41"/>
                <c:pt idx="0">
                  <c:v>1676.8293296070926</c:v>
                </c:pt>
                <c:pt idx="1">
                  <c:v>1774.5898107351686</c:v>
                </c:pt>
                <c:pt idx="2">
                  <c:v>1856.5684738705736</c:v>
                </c:pt>
                <c:pt idx="3">
                  <c:v>1823.4914754065853</c:v>
                </c:pt>
                <c:pt idx="4">
                  <c:v>1841.4594640159989</c:v>
                </c:pt>
                <c:pt idx="5">
                  <c:v>1695.0070009695717</c:v>
                </c:pt>
                <c:pt idx="6">
                  <c:v>1854.0595741469392</c:v>
                </c:pt>
                <c:pt idx="7">
                  <c:v>1903.5055023121824</c:v>
                </c:pt>
                <c:pt idx="8">
                  <c:v>1957.3812065519662</c:v>
                </c:pt>
                <c:pt idx="9">
                  <c:v>1953.5841253931962</c:v>
                </c:pt>
                <c:pt idx="10">
                  <c:v>1902.3768621022043</c:v>
                </c:pt>
                <c:pt idx="11">
                  <c:v>1945.5459826376425</c:v>
                </c:pt>
                <c:pt idx="12">
                  <c:v>1845.776193736714</c:v>
                </c:pt>
                <c:pt idx="13">
                  <c:v>2015.7924399069686</c:v>
                </c:pt>
                <c:pt idx="14">
                  <c:v>2078.3417168105088</c:v>
                </c:pt>
                <c:pt idx="15">
                  <c:v>2017.3632372266716</c:v>
                </c:pt>
                <c:pt idx="16">
                  <c:v>1985.8799822003309</c:v>
                </c:pt>
                <c:pt idx="17">
                  <c:v>2039.394142819116</c:v>
                </c:pt>
                <c:pt idx="18">
                  <c:v>2153.9562641132611</c:v>
                </c:pt>
                <c:pt idx="19">
                  <c:v>2186.1253063093668</c:v>
                </c:pt>
                <c:pt idx="20">
                  <c:v>2232.4561523667417</c:v>
                </c:pt>
                <c:pt idx="21">
                  <c:v>2267.2367478194155</c:v>
                </c:pt>
                <c:pt idx="22">
                  <c:v>2376.8968151839495</c:v>
                </c:pt>
                <c:pt idx="23">
                  <c:v>2413.860058955303</c:v>
                </c:pt>
                <c:pt idx="24">
                  <c:v>2406.5414497255788</c:v>
                </c:pt>
                <c:pt idx="25">
                  <c:v>2475.1031059942475</c:v>
                </c:pt>
                <c:pt idx="26">
                  <c:v>2445.7058531055864</c:v>
                </c:pt>
                <c:pt idx="27">
                  <c:v>2444.4671078929837</c:v>
                </c:pt>
                <c:pt idx="28">
                  <c:v>2503.918032</c:v>
                </c:pt>
                <c:pt idx="29">
                  <c:v>2465.1884562264563</c:v>
                </c:pt>
                <c:pt idx="30">
                  <c:v>2357.2657029108259</c:v>
                </c:pt>
                <c:pt idx="31">
                  <c:v>2298.5199852617166</c:v>
                </c:pt>
                <c:pt idx="32">
                  <c:v>2137.503764</c:v>
                </c:pt>
                <c:pt idx="33">
                  <c:v>2062.2055493557114</c:v>
                </c:pt>
                <c:pt idx="34">
                  <c:v>2028.3709641295484</c:v>
                </c:pt>
                <c:pt idx="35">
                  <c:v>2041.520676975912</c:v>
                </c:pt>
                <c:pt idx="36">
                  <c:v>2106.5685840000001</c:v>
                </c:pt>
                <c:pt idx="37">
                  <c:v>2090.1212360058084</c:v>
                </c:pt>
                <c:pt idx="38">
                  <c:v>1905.2774059551602</c:v>
                </c:pt>
                <c:pt idx="39">
                  <c:v>1774.044580052572</c:v>
                </c:pt>
                <c:pt idx="40">
                  <c:v>1904</c:v>
                </c:pt>
              </c:numCache>
            </c:numRef>
          </c:val>
          <c:smooth val="0"/>
          <c:extLst>
            <c:ext xmlns:c16="http://schemas.microsoft.com/office/drawing/2014/chart" uri="{C3380CC4-5D6E-409C-BE32-E72D297353CC}">
              <c16:uniqueId val="{00000000-E75F-4E47-9CD4-0F5C666F41CD}"/>
            </c:ext>
          </c:extLst>
        </c:ser>
        <c:ser>
          <c:idx val="1"/>
          <c:order val="1"/>
          <c:tx>
            <c:strRef>
              <c:f>ASM_Annual_Fuel3_1970on!$F$55</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ASM_Annual_Fuel3_1970on!$G$53:$AU$53</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ASM_Annual_Fuel3_1970on!$G$55:$AU$55</c:f>
              <c:numCache>
                <c:formatCode>0.00</c:formatCode>
                <c:ptCount val="41"/>
                <c:pt idx="0">
                  <c:v>30.291028498334043</c:v>
                </c:pt>
                <c:pt idx="1">
                  <c:v>28.981245210725596</c:v>
                </c:pt>
                <c:pt idx="2">
                  <c:v>28.59798183782285</c:v>
                </c:pt>
                <c:pt idx="3">
                  <c:v>26.669931974980639</c:v>
                </c:pt>
                <c:pt idx="4">
                  <c:v>22.098920409671415</c:v>
                </c:pt>
                <c:pt idx="5">
                  <c:v>23.832405657932156</c:v>
                </c:pt>
                <c:pt idx="6">
                  <c:v>19.308652681177552</c:v>
                </c:pt>
                <c:pt idx="7">
                  <c:v>23.373896798763397</c:v>
                </c:pt>
                <c:pt idx="8">
                  <c:v>23.509136802180493</c:v>
                </c:pt>
                <c:pt idx="9">
                  <c:v>25.776040799978485</c:v>
                </c:pt>
                <c:pt idx="10">
                  <c:v>25.106376545139955</c:v>
                </c:pt>
                <c:pt idx="11">
                  <c:v>25.110901303618594</c:v>
                </c:pt>
                <c:pt idx="12">
                  <c:v>26.386883194594706</c:v>
                </c:pt>
                <c:pt idx="13">
                  <c:v>27.737445560605206</c:v>
                </c:pt>
                <c:pt idx="14">
                  <c:v>31.98743113422907</c:v>
                </c:pt>
                <c:pt idx="15">
                  <c:v>26.699079874753142</c:v>
                </c:pt>
                <c:pt idx="16">
                  <c:v>31.398684042991388</c:v>
                </c:pt>
                <c:pt idx="17">
                  <c:v>35.457031000499867</c:v>
                </c:pt>
                <c:pt idx="18">
                  <c:v>40.089746346787351</c:v>
                </c:pt>
                <c:pt idx="19">
                  <c:v>41.243633713675202</c:v>
                </c:pt>
                <c:pt idx="20">
                  <c:v>40.250360783695889</c:v>
                </c:pt>
                <c:pt idx="21">
                  <c:v>38.576483481067747</c:v>
                </c:pt>
                <c:pt idx="22">
                  <c:v>38.178392597320688</c:v>
                </c:pt>
                <c:pt idx="23">
                  <c:v>35.271440939704874</c:v>
                </c:pt>
                <c:pt idx="24">
                  <c:v>37.113573244007682</c:v>
                </c:pt>
                <c:pt idx="25">
                  <c:v>43.188518122581051</c:v>
                </c:pt>
                <c:pt idx="26">
                  <c:v>40.33110661016218</c:v>
                </c:pt>
                <c:pt idx="27">
                  <c:v>40.608372244311404</c:v>
                </c:pt>
                <c:pt idx="28">
                  <c:v>47.004247999999997</c:v>
                </c:pt>
                <c:pt idx="29">
                  <c:v>52.164830887173935</c:v>
                </c:pt>
                <c:pt idx="30">
                  <c:v>43.975163094048298</c:v>
                </c:pt>
                <c:pt idx="31">
                  <c:v>43.927533603441304</c:v>
                </c:pt>
                <c:pt idx="32">
                  <c:v>47.795832000000004</c:v>
                </c:pt>
                <c:pt idx="33">
                  <c:v>39.692067517161526</c:v>
                </c:pt>
                <c:pt idx="34">
                  <c:v>39.966826921984563</c:v>
                </c:pt>
                <c:pt idx="35">
                  <c:v>36.753303021623331</c:v>
                </c:pt>
                <c:pt idx="36">
                  <c:v>40.374451999999998</c:v>
                </c:pt>
                <c:pt idx="37">
                  <c:v>40.901224952433246</c:v>
                </c:pt>
                <c:pt idx="38">
                  <c:v>32.461027328280444</c:v>
                </c:pt>
                <c:pt idx="39">
                  <c:v>42.881660809701962</c:v>
                </c:pt>
                <c:pt idx="40">
                  <c:v>36</c:v>
                </c:pt>
              </c:numCache>
            </c:numRef>
          </c:val>
          <c:smooth val="0"/>
          <c:extLst>
            <c:ext xmlns:c16="http://schemas.microsoft.com/office/drawing/2014/chart" uri="{C3380CC4-5D6E-409C-BE32-E72D297353CC}">
              <c16:uniqueId val="{00000001-E75F-4E47-9CD4-0F5C666F41CD}"/>
            </c:ext>
          </c:extLst>
        </c:ser>
        <c:ser>
          <c:idx val="2"/>
          <c:order val="2"/>
          <c:tx>
            <c:strRef>
              <c:f>ASM_Annual_Fuel3_1970on!$F$56</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ASM_Annual_Fuel3_1970on!$G$53:$AU$53</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ASM_Annual_Fuel3_1970on!$G$56:$AU$56</c:f>
              <c:numCache>
                <c:formatCode>0.00</c:formatCode>
                <c:ptCount val="41"/>
                <c:pt idx="0">
                  <c:v>2792.6281494244427</c:v>
                </c:pt>
                <c:pt idx="1">
                  <c:v>2793.4219083077564</c:v>
                </c:pt>
                <c:pt idx="2">
                  <c:v>2939.1111055370584</c:v>
                </c:pt>
                <c:pt idx="3">
                  <c:v>3102.474949837007</c:v>
                </c:pt>
                <c:pt idx="4">
                  <c:v>3059.3692855128302</c:v>
                </c:pt>
                <c:pt idx="5">
                  <c:v>2912.1731121392399</c:v>
                </c:pt>
                <c:pt idx="6">
                  <c:v>3008.8241187041867</c:v>
                </c:pt>
                <c:pt idx="7">
                  <c:v>3111.3747991054629</c:v>
                </c:pt>
                <c:pt idx="8">
                  <c:v>3101.6695336136172</c:v>
                </c:pt>
                <c:pt idx="9">
                  <c:v>3053.153803736277</c:v>
                </c:pt>
                <c:pt idx="10">
                  <c:v>2931.8295070227023</c:v>
                </c:pt>
                <c:pt idx="11">
                  <c:v>2462.6978715783816</c:v>
                </c:pt>
                <c:pt idx="12">
                  <c:v>2440.9314981412763</c:v>
                </c:pt>
                <c:pt idx="13">
                  <c:v>2468.9059350476141</c:v>
                </c:pt>
                <c:pt idx="14">
                  <c:v>2493.1362462733782</c:v>
                </c:pt>
                <c:pt idx="15">
                  <c:v>2519.6333802647096</c:v>
                </c:pt>
                <c:pt idx="16">
                  <c:v>2850.2471338482869</c:v>
                </c:pt>
                <c:pt idx="17">
                  <c:v>2753.6476622858058</c:v>
                </c:pt>
                <c:pt idx="18">
                  <c:v>3018.3157833208888</c:v>
                </c:pt>
                <c:pt idx="19">
                  <c:v>2965.3762841158969</c:v>
                </c:pt>
                <c:pt idx="20">
                  <c:v>2981.7236021574176</c:v>
                </c:pt>
                <c:pt idx="21">
                  <c:v>2884.3712617836486</c:v>
                </c:pt>
                <c:pt idx="22">
                  <c:v>2978.6197025599158</c:v>
                </c:pt>
                <c:pt idx="23">
                  <c:v>2970.8276442091383</c:v>
                </c:pt>
                <c:pt idx="24">
                  <c:v>3144.6947232151383</c:v>
                </c:pt>
                <c:pt idx="25">
                  <c:v>3318.3953852069985</c:v>
                </c:pt>
                <c:pt idx="26">
                  <c:v>3430.9762747528257</c:v>
                </c:pt>
                <c:pt idx="27">
                  <c:v>3465.1910244853348</c:v>
                </c:pt>
                <c:pt idx="28">
                  <c:v>3495.5546920000002</c:v>
                </c:pt>
                <c:pt idx="29">
                  <c:v>3559.9686790500004</c:v>
                </c:pt>
                <c:pt idx="30">
                  <c:v>3613.8718330000002</c:v>
                </c:pt>
                <c:pt idx="31">
                  <c:v>3494.7027549010036</c:v>
                </c:pt>
                <c:pt idx="32">
                  <c:v>3075.1213680000001</c:v>
                </c:pt>
                <c:pt idx="33">
                  <c:v>2986.514133005855</c:v>
                </c:pt>
                <c:pt idx="34">
                  <c:v>3077.7580838021422</c:v>
                </c:pt>
                <c:pt idx="35">
                  <c:v>3370.7901598183917</c:v>
                </c:pt>
                <c:pt idx="36">
                  <c:v>3259.0627920000002</c:v>
                </c:pt>
                <c:pt idx="37">
                  <c:v>3233.695904757873</c:v>
                </c:pt>
                <c:pt idx="38">
                  <c:v>3327.9701282444062</c:v>
                </c:pt>
                <c:pt idx="39">
                  <c:v>3130.9523370717566</c:v>
                </c:pt>
                <c:pt idx="40">
                  <c:v>3159</c:v>
                </c:pt>
              </c:numCache>
            </c:numRef>
          </c:val>
          <c:smooth val="0"/>
          <c:extLst>
            <c:ext xmlns:c16="http://schemas.microsoft.com/office/drawing/2014/chart" uri="{C3380CC4-5D6E-409C-BE32-E72D297353CC}">
              <c16:uniqueId val="{00000002-E75F-4E47-9CD4-0F5C666F41CD}"/>
            </c:ext>
          </c:extLst>
        </c:ser>
        <c:ser>
          <c:idx val="3"/>
          <c:order val="3"/>
          <c:tx>
            <c:strRef>
              <c:f>ASM_Annual_Fuel3_1970on!$F$57</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ASM_Annual_Fuel3_1970on!$G$53:$AU$53</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ASM_Annual_Fuel3_1970on!$G$57:$AU$57</c:f>
              <c:numCache>
                <c:formatCode>0.00</c:formatCode>
                <c:ptCount val="41"/>
                <c:pt idx="0">
                  <c:v>2486.2734710772238</c:v>
                </c:pt>
                <c:pt idx="1">
                  <c:v>2562.1387413783464</c:v>
                </c:pt>
                <c:pt idx="2">
                  <c:v>2578.0337383797546</c:v>
                </c:pt>
                <c:pt idx="3">
                  <c:v>2619.3404671718845</c:v>
                </c:pt>
                <c:pt idx="4">
                  <c:v>2984.1066150056604</c:v>
                </c:pt>
                <c:pt idx="5">
                  <c:v>2647.2003018212563</c:v>
                </c:pt>
                <c:pt idx="6">
                  <c:v>2805.1630195756998</c:v>
                </c:pt>
                <c:pt idx="7">
                  <c:v>2736.8753227042434</c:v>
                </c:pt>
                <c:pt idx="8">
                  <c:v>2621.971176355411</c:v>
                </c:pt>
                <c:pt idx="9">
                  <c:v>2641.5642459618775</c:v>
                </c:pt>
                <c:pt idx="10">
                  <c:v>2483.7558600045877</c:v>
                </c:pt>
                <c:pt idx="11">
                  <c:v>2411.7206101045604</c:v>
                </c:pt>
                <c:pt idx="12">
                  <c:v>2159.1595693274257</c:v>
                </c:pt>
                <c:pt idx="13">
                  <c:v>2238.8395446604609</c:v>
                </c:pt>
                <c:pt idx="14">
                  <c:v>2327.8418674047139</c:v>
                </c:pt>
                <c:pt idx="15">
                  <c:v>1982.3306729500532</c:v>
                </c:pt>
                <c:pt idx="16">
                  <c:v>2015.168144981348</c:v>
                </c:pt>
                <c:pt idx="17">
                  <c:v>2230.5058143667238</c:v>
                </c:pt>
                <c:pt idx="18">
                  <c:v>2425.2974275342949</c:v>
                </c:pt>
                <c:pt idx="19">
                  <c:v>2521.8421868716355</c:v>
                </c:pt>
                <c:pt idx="20">
                  <c:v>2717.7721792901602</c:v>
                </c:pt>
                <c:pt idx="21">
                  <c:v>2577.2858974832011</c:v>
                </c:pt>
                <c:pt idx="22">
                  <c:v>2624.9869434256652</c:v>
                </c:pt>
                <c:pt idx="23">
                  <c:v>2667.9116101083255</c:v>
                </c:pt>
                <c:pt idx="24">
                  <c:v>2729.1714558311169</c:v>
                </c:pt>
                <c:pt idx="25">
                  <c:v>2808.3801069250053</c:v>
                </c:pt>
                <c:pt idx="26">
                  <c:v>3060.7601437574108</c:v>
                </c:pt>
                <c:pt idx="27">
                  <c:v>3103.9541409155927</c:v>
                </c:pt>
                <c:pt idx="28">
                  <c:v>3126.5770039999998</c:v>
                </c:pt>
                <c:pt idx="29">
                  <c:v>3311.1447124275678</c:v>
                </c:pt>
                <c:pt idx="30">
                  <c:v>3451.1731051817164</c:v>
                </c:pt>
                <c:pt idx="31">
                  <c:v>3269.7219092965011</c:v>
                </c:pt>
                <c:pt idx="32">
                  <c:v>3246.609152</c:v>
                </c:pt>
                <c:pt idx="33">
                  <c:v>3278.8496369605023</c:v>
                </c:pt>
                <c:pt idx="34">
                  <c:v>3050.2080438901307</c:v>
                </c:pt>
                <c:pt idx="35">
                  <c:v>2799.0993758095683</c:v>
                </c:pt>
                <c:pt idx="36">
                  <c:v>2677.7578599999997</c:v>
                </c:pt>
                <c:pt idx="37">
                  <c:v>2824.531653445953</c:v>
                </c:pt>
                <c:pt idx="38">
                  <c:v>2808.6503129524704</c:v>
                </c:pt>
                <c:pt idx="39">
                  <c:v>2507.0190933838858</c:v>
                </c:pt>
                <c:pt idx="40">
                  <c:v>2772</c:v>
                </c:pt>
              </c:numCache>
            </c:numRef>
          </c:val>
          <c:smooth val="0"/>
          <c:extLst>
            <c:ext xmlns:c16="http://schemas.microsoft.com/office/drawing/2014/chart" uri="{C3380CC4-5D6E-409C-BE32-E72D297353CC}">
              <c16:uniqueId val="{00000003-E75F-4E47-9CD4-0F5C666F41CD}"/>
            </c:ext>
          </c:extLst>
        </c:ser>
        <c:dLbls>
          <c:showLegendKey val="0"/>
          <c:showVal val="0"/>
          <c:showCatName val="0"/>
          <c:showSerName val="0"/>
          <c:showPercent val="0"/>
          <c:showBubbleSize val="0"/>
        </c:dLbls>
        <c:marker val="1"/>
        <c:smooth val="0"/>
        <c:axId val="130390016"/>
        <c:axId val="132073728"/>
      </c:lineChart>
      <c:catAx>
        <c:axId val="1303900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073728"/>
        <c:crosses val="autoZero"/>
        <c:auto val="1"/>
        <c:lblAlgn val="ctr"/>
        <c:lblOffset val="100"/>
        <c:tickLblSkip val="2"/>
        <c:tickMarkSkip val="1"/>
        <c:noMultiLvlLbl val="0"/>
      </c:catAx>
      <c:valAx>
        <c:axId val="132073728"/>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30390016"/>
        <c:crosses val="autoZero"/>
        <c:crossBetween val="between"/>
      </c:valAx>
      <c:spPr>
        <a:solidFill>
          <a:srgbClr val="C0C0C0"/>
        </a:solidFill>
        <a:ln w="12700">
          <a:solidFill>
            <a:srgbClr val="808080"/>
          </a:solidFill>
          <a:prstDash val="solid"/>
        </a:ln>
      </c:spPr>
    </c:plotArea>
    <c:legend>
      <c:legendPos val="r"/>
      <c:layout>
        <c:manualLayout>
          <c:xMode val="edge"/>
          <c:yMode val="edge"/>
          <c:x val="0.88741791382037505"/>
          <c:y val="0.3641304347826087"/>
          <c:w val="9.9337748344370813E-2"/>
          <c:h val="0.23097826086956524"/>
        </c:manualLayout>
      </c:layout>
      <c:overlay val="0"/>
      <c:spPr>
        <a:solidFill>
          <a:srgbClr val="FFFFFF"/>
        </a:solidFill>
        <a:ln w="3175">
          <a:solidFill>
            <a:srgbClr val="000000"/>
          </a:solidFill>
          <a:prstDash val="solid"/>
        </a:ln>
      </c:spPr>
      <c:txPr>
        <a:bodyPr/>
        <a:lstStyle/>
        <a:p>
          <a:pPr>
            <a:defRPr sz="6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200" verticalDpi="200" copies="0"/>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436115843270869"/>
          <c:y val="8.8524590163934422E-2"/>
          <c:w val="0.74544425554760196"/>
          <c:h val="0.7945355191256831"/>
        </c:manualLayout>
      </c:layout>
      <c:lineChart>
        <c:grouping val="standard"/>
        <c:varyColors val="0"/>
        <c:ser>
          <c:idx val="0"/>
          <c:order val="0"/>
          <c:tx>
            <c:strRef>
              <c:f>ASM_Annual_Fuel3_1970on!$F$30</c:f>
              <c:strCache>
                <c:ptCount val="1"/>
                <c:pt idx="0">
                  <c:v>311-312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ASM_Annual_Fuel3_1970on!$G$29:$BB$29</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ASM_Annual_Fuel3_1970on!$G$30:$BB$30</c:f>
              <c:numCache>
                <c:formatCode>0.00</c:formatCode>
                <c:ptCount val="48"/>
                <c:pt idx="0">
                  <c:v>1025.2394208767039</c:v>
                </c:pt>
                <c:pt idx="1">
                  <c:v>1041.4392566055014</c:v>
                </c:pt>
                <c:pt idx="2">
                  <c:v>1033.7732940337014</c:v>
                </c:pt>
                <c:pt idx="3">
                  <c:v>1002.7388099089143</c:v>
                </c:pt>
                <c:pt idx="4">
                  <c:v>916.38228761252185</c:v>
                </c:pt>
                <c:pt idx="5">
                  <c:v>919.47748680792574</c:v>
                </c:pt>
                <c:pt idx="6">
                  <c:v>923.77521271776016</c:v>
                </c:pt>
                <c:pt idx="7">
                  <c:v>933.31874357025549</c:v>
                </c:pt>
                <c:pt idx="8">
                  <c:v>960.85021509213618</c:v>
                </c:pt>
                <c:pt idx="9">
                  <c:v>927.44320966216321</c:v>
                </c:pt>
                <c:pt idx="10">
                  <c:v>922.40770166183279</c:v>
                </c:pt>
                <c:pt idx="11">
                  <c:v>871.84697216243671</c:v>
                </c:pt>
                <c:pt idx="12">
                  <c:v>891.93788225512594</c:v>
                </c:pt>
                <c:pt idx="13">
                  <c:v>926.28715741012616</c:v>
                </c:pt>
                <c:pt idx="14">
                  <c:v>919.28113220431328</c:v>
                </c:pt>
                <c:pt idx="15">
                  <c:v>814.40918409036976</c:v>
                </c:pt>
                <c:pt idx="16">
                  <c:v>851.19749953824692</c:v>
                </c:pt>
                <c:pt idx="17">
                  <c:v>833.51038838632076</c:v>
                </c:pt>
                <c:pt idx="18">
                  <c:v>851.12053122624513</c:v>
                </c:pt>
                <c:pt idx="19">
                  <c:v>851.8988327684732</c:v>
                </c:pt>
                <c:pt idx="20">
                  <c:v>801.85853040559095</c:v>
                </c:pt>
                <c:pt idx="21">
                  <c:v>809.67414956814787</c:v>
                </c:pt>
                <c:pt idx="22">
                  <c:v>863.70158393200757</c:v>
                </c:pt>
                <c:pt idx="23">
                  <c:v>926.75369383250984</c:v>
                </c:pt>
                <c:pt idx="24">
                  <c:v>1008.5825527109854</c:v>
                </c:pt>
                <c:pt idx="25">
                  <c:v>996.91523388203518</c:v>
                </c:pt>
                <c:pt idx="26">
                  <c:v>865.22738818560777</c:v>
                </c:pt>
                <c:pt idx="27">
                  <c:v>867.68525811561415</c:v>
                </c:pt>
                <c:pt idx="28">
                  <c:v>914.596452</c:v>
                </c:pt>
                <c:pt idx="29">
                  <c:v>935.17439841307237</c:v>
                </c:pt>
                <c:pt idx="30">
                  <c:v>890.52621269592521</c:v>
                </c:pt>
                <c:pt idx="31">
                  <c:v>981.79189817683255</c:v>
                </c:pt>
                <c:pt idx="32">
                  <c:v>963.55408</c:v>
                </c:pt>
                <c:pt idx="33">
                  <c:v>908.1512310074819</c:v>
                </c:pt>
                <c:pt idx="34">
                  <c:v>876.87404509058865</c:v>
                </c:pt>
                <c:pt idx="35">
                  <c:v>881.92508034163961</c:v>
                </c:pt>
                <c:pt idx="36">
                  <c:v>1014.1992240000001</c:v>
                </c:pt>
                <c:pt idx="37">
                  <c:v>1017.3089008569175</c:v>
                </c:pt>
                <c:pt idx="38">
                  <c:v>913.55290679421876</c:v>
                </c:pt>
                <c:pt idx="39">
                  <c:v>1082.0437976266057</c:v>
                </c:pt>
                <c:pt idx="40">
                  <c:v>958</c:v>
                </c:pt>
                <c:pt idx="41">
                  <c:v>962.5869918448409</c:v>
                </c:pt>
                <c:pt idx="42">
                  <c:v>905.23015078882304</c:v>
                </c:pt>
                <c:pt idx="43">
                  <c:v>938.49143969789179</c:v>
                </c:pt>
                <c:pt idx="44">
                  <c:v>929</c:v>
                </c:pt>
                <c:pt idx="45">
                  <c:v>1030.630146776351</c:v>
                </c:pt>
                <c:pt idx="46">
                  <c:v>1061.6998274548725</c:v>
                </c:pt>
                <c:pt idx="47">
                  <c:v>971.69780095161491</c:v>
                </c:pt>
              </c:numCache>
            </c:numRef>
          </c:val>
          <c:smooth val="0"/>
          <c:extLst>
            <c:ext xmlns:c16="http://schemas.microsoft.com/office/drawing/2014/chart" uri="{C3380CC4-5D6E-409C-BE32-E72D297353CC}">
              <c16:uniqueId val="{00000000-4863-4FD0-A8AF-F0666C74B92E}"/>
            </c:ext>
          </c:extLst>
        </c:ser>
        <c:ser>
          <c:idx val="1"/>
          <c:order val="1"/>
          <c:tx>
            <c:strRef>
              <c:f>ASM_Annual_Fuel3_1970on!$F$31</c:f>
              <c:strCache>
                <c:ptCount val="1"/>
                <c:pt idx="0">
                  <c:v>313-314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ASM_Annual_Fuel3_1970on!$G$29:$BB$29</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ASM_Annual_Fuel3_1970on!$G$31:$BB$31</c:f>
              <c:numCache>
                <c:formatCode>0.00</c:formatCode>
                <c:ptCount val="48"/>
                <c:pt idx="0">
                  <c:v>225.54014182377034</c:v>
                </c:pt>
                <c:pt idx="1">
                  <c:v>240.42711041711195</c:v>
                </c:pt>
                <c:pt idx="2">
                  <c:v>242.48210352435277</c:v>
                </c:pt>
                <c:pt idx="3">
                  <c:v>223.28416490121569</c:v>
                </c:pt>
                <c:pt idx="4">
                  <c:v>195.18273179879691</c:v>
                </c:pt>
                <c:pt idx="5">
                  <c:v>194.60722748181865</c:v>
                </c:pt>
                <c:pt idx="6">
                  <c:v>204.37397843656774</c:v>
                </c:pt>
                <c:pt idx="7">
                  <c:v>215.23241681106174</c:v>
                </c:pt>
                <c:pt idx="8">
                  <c:v>211.3871625823902</c:v>
                </c:pt>
                <c:pt idx="9">
                  <c:v>200.02405119146917</c:v>
                </c:pt>
                <c:pt idx="10">
                  <c:v>184.78026992160108</c:v>
                </c:pt>
                <c:pt idx="11">
                  <c:v>180.50914249836566</c:v>
                </c:pt>
                <c:pt idx="12">
                  <c:v>159.78213317458031</c:v>
                </c:pt>
                <c:pt idx="13">
                  <c:v>178.92517753979021</c:v>
                </c:pt>
                <c:pt idx="14">
                  <c:v>176.12202882047774</c:v>
                </c:pt>
                <c:pt idx="15">
                  <c:v>156.1414043262503</c:v>
                </c:pt>
                <c:pt idx="16">
                  <c:v>167.34431376858677</c:v>
                </c:pt>
                <c:pt idx="17">
                  <c:v>172.60133796131427</c:v>
                </c:pt>
                <c:pt idx="18">
                  <c:v>168.48905994885055</c:v>
                </c:pt>
                <c:pt idx="19">
                  <c:v>167.44427557233792</c:v>
                </c:pt>
                <c:pt idx="20">
                  <c:v>155.89053627343949</c:v>
                </c:pt>
                <c:pt idx="21">
                  <c:v>167.22964134569051</c:v>
                </c:pt>
                <c:pt idx="22">
                  <c:v>171.780636136151</c:v>
                </c:pt>
                <c:pt idx="23">
                  <c:v>179.66474753861871</c:v>
                </c:pt>
                <c:pt idx="24">
                  <c:v>192.94392268146368</c:v>
                </c:pt>
                <c:pt idx="25">
                  <c:v>190.8904946076554</c:v>
                </c:pt>
                <c:pt idx="26">
                  <c:v>167.09700979934172</c:v>
                </c:pt>
                <c:pt idx="27">
                  <c:v>170.57022786370626</c:v>
                </c:pt>
                <c:pt idx="28">
                  <c:v>183.883668</c:v>
                </c:pt>
                <c:pt idx="29">
                  <c:v>187.31181548387343</c:v>
                </c:pt>
                <c:pt idx="30">
                  <c:v>156.99410743381722</c:v>
                </c:pt>
                <c:pt idx="31">
                  <c:v>156.54886822367064</c:v>
                </c:pt>
                <c:pt idx="32">
                  <c:v>161.77534800000001</c:v>
                </c:pt>
                <c:pt idx="33">
                  <c:v>144.82060676734446</c:v>
                </c:pt>
                <c:pt idx="34">
                  <c:v>150.15509141889578</c:v>
                </c:pt>
                <c:pt idx="35">
                  <c:v>157.5923565830285</c:v>
                </c:pt>
                <c:pt idx="36">
                  <c:v>164.407712</c:v>
                </c:pt>
                <c:pt idx="37">
                  <c:v>117.72476201119797</c:v>
                </c:pt>
                <c:pt idx="38">
                  <c:v>100.10391940983209</c:v>
                </c:pt>
                <c:pt idx="39">
                  <c:v>92.386077520771678</c:v>
                </c:pt>
                <c:pt idx="40">
                  <c:v>62</c:v>
                </c:pt>
                <c:pt idx="41">
                  <c:v>63.735355866562557</c:v>
                </c:pt>
                <c:pt idx="42">
                  <c:v>65.232230776731996</c:v>
                </c:pt>
                <c:pt idx="43">
                  <c:v>70.717952789685583</c:v>
                </c:pt>
                <c:pt idx="44">
                  <c:v>72</c:v>
                </c:pt>
                <c:pt idx="45">
                  <c:v>74.509049446669465</c:v>
                </c:pt>
                <c:pt idx="46">
                  <c:v>78.338211968875697</c:v>
                </c:pt>
                <c:pt idx="47">
                  <c:v>58.42197502449914</c:v>
                </c:pt>
              </c:numCache>
            </c:numRef>
          </c:val>
          <c:smooth val="0"/>
          <c:extLst>
            <c:ext xmlns:c16="http://schemas.microsoft.com/office/drawing/2014/chart" uri="{C3380CC4-5D6E-409C-BE32-E72D297353CC}">
              <c16:uniqueId val="{00000001-4863-4FD0-A8AF-F0666C74B92E}"/>
            </c:ext>
          </c:extLst>
        </c:ser>
        <c:ser>
          <c:idx val="2"/>
          <c:order val="2"/>
          <c:tx>
            <c:strRef>
              <c:f>ASM_Annual_Fuel3_1970on!$F$32</c:f>
              <c:strCache>
                <c:ptCount val="1"/>
                <c:pt idx="0">
                  <c:v>315-316</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ASM_Annual_Fuel3_1970on!$G$29:$BB$29</c:f>
              <c:numCache>
                <c:formatCode>General</c:formatCode>
                <c:ptCount val="48"/>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numCache>
            </c:numRef>
          </c:cat>
          <c:val>
            <c:numRef>
              <c:f>ASM_Annual_Fuel3_1970on!$G$32:$BB$32</c:f>
              <c:numCache>
                <c:formatCode>0.00</c:formatCode>
                <c:ptCount val="48"/>
                <c:pt idx="0">
                  <c:v>69.457629065242031</c:v>
                </c:pt>
                <c:pt idx="1">
                  <c:v>65.691230457434273</c:v>
                </c:pt>
                <c:pt idx="2">
                  <c:v>61.690356109039513</c:v>
                </c:pt>
                <c:pt idx="3">
                  <c:v>52.443351114267543</c:v>
                </c:pt>
                <c:pt idx="4">
                  <c:v>45.343594680817269</c:v>
                </c:pt>
                <c:pt idx="5">
                  <c:v>43.638892674927845</c:v>
                </c:pt>
                <c:pt idx="6">
                  <c:v>42.659798028422571</c:v>
                </c:pt>
                <c:pt idx="7">
                  <c:v>46.520198171871066</c:v>
                </c:pt>
                <c:pt idx="8">
                  <c:v>48.402341278745268</c:v>
                </c:pt>
                <c:pt idx="9">
                  <c:v>43.502643258100242</c:v>
                </c:pt>
                <c:pt idx="10">
                  <c:v>42.470738760111416</c:v>
                </c:pt>
                <c:pt idx="11">
                  <c:v>42.345051313580534</c:v>
                </c:pt>
                <c:pt idx="12">
                  <c:v>34.013769143533565</c:v>
                </c:pt>
                <c:pt idx="13">
                  <c:v>36.976401811761477</c:v>
                </c:pt>
                <c:pt idx="14">
                  <c:v>32.566779212883922</c:v>
                </c:pt>
                <c:pt idx="15">
                  <c:v>27.870927218965463</c:v>
                </c:pt>
                <c:pt idx="16">
                  <c:v>38.210686463826796</c:v>
                </c:pt>
                <c:pt idx="17">
                  <c:v>41.21594313846515</c:v>
                </c:pt>
                <c:pt idx="18">
                  <c:v>46.203934666809843</c:v>
                </c:pt>
                <c:pt idx="19">
                  <c:v>38.72494633334945</c:v>
                </c:pt>
                <c:pt idx="20">
                  <c:v>34.234269572907131</c:v>
                </c:pt>
                <c:pt idx="21">
                  <c:v>36.963147733447869</c:v>
                </c:pt>
                <c:pt idx="22">
                  <c:v>37.95122991416855</c:v>
                </c:pt>
                <c:pt idx="23">
                  <c:v>38.969253979153493</c:v>
                </c:pt>
                <c:pt idx="24">
                  <c:v>39.957336159874167</c:v>
                </c:pt>
                <c:pt idx="25">
                  <c:v>44.512636188125661</c:v>
                </c:pt>
                <c:pt idx="26">
                  <c:v>36.045490006918435</c:v>
                </c:pt>
                <c:pt idx="27">
                  <c:v>34.309579022565551</c:v>
                </c:pt>
                <c:pt idx="28">
                  <c:v>35.487055999999995</c:v>
                </c:pt>
                <c:pt idx="29">
                  <c:v>34.727399494976886</c:v>
                </c:pt>
                <c:pt idx="30">
                  <c:v>27.828729813053091</c:v>
                </c:pt>
                <c:pt idx="31">
                  <c:v>25.821803000550606</c:v>
                </c:pt>
                <c:pt idx="32">
                  <c:v>22.314752000000002</c:v>
                </c:pt>
                <c:pt idx="33">
                  <c:v>13.370253732879473</c:v>
                </c:pt>
                <c:pt idx="34">
                  <c:v>12.950620915309582</c:v>
                </c:pt>
                <c:pt idx="35">
                  <c:v>10.444249462603306</c:v>
                </c:pt>
                <c:pt idx="36">
                  <c:v>8.7224880000000002</c:v>
                </c:pt>
                <c:pt idx="37">
                  <c:v>5.5487247592447062</c:v>
                </c:pt>
                <c:pt idx="38">
                  <c:v>2.9930445873252332</c:v>
                </c:pt>
                <c:pt idx="39">
                  <c:v>3.526210661636902</c:v>
                </c:pt>
                <c:pt idx="40">
                  <c:v>3</c:v>
                </c:pt>
                <c:pt idx="41">
                  <c:v>3.4834106866991101</c:v>
                </c:pt>
                <c:pt idx="42">
                  <c:v>2.8834010636912977</c:v>
                </c:pt>
                <c:pt idx="43">
                  <c:v>2.9774098793298824</c:v>
                </c:pt>
                <c:pt idx="44">
                  <c:v>3</c:v>
                </c:pt>
                <c:pt idx="45">
                  <c:v>4.4320835988412783</c:v>
                </c:pt>
                <c:pt idx="46">
                  <c:v>4.9647133073011736</c:v>
                </c:pt>
                <c:pt idx="47">
                  <c:v>4.2770219585491782</c:v>
                </c:pt>
              </c:numCache>
            </c:numRef>
          </c:val>
          <c:smooth val="0"/>
          <c:extLst>
            <c:ext xmlns:c16="http://schemas.microsoft.com/office/drawing/2014/chart" uri="{C3380CC4-5D6E-409C-BE32-E72D297353CC}">
              <c16:uniqueId val="{00000002-4863-4FD0-A8AF-F0666C74B92E}"/>
            </c:ext>
          </c:extLst>
        </c:ser>
        <c:dLbls>
          <c:showLegendKey val="0"/>
          <c:showVal val="0"/>
          <c:showCatName val="0"/>
          <c:showSerName val="0"/>
          <c:showPercent val="0"/>
          <c:showBubbleSize val="0"/>
        </c:dLbls>
        <c:marker val="1"/>
        <c:smooth val="0"/>
        <c:axId val="131198976"/>
        <c:axId val="132076032"/>
      </c:lineChart>
      <c:catAx>
        <c:axId val="13119897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076032"/>
        <c:crosses val="autoZero"/>
        <c:auto val="1"/>
        <c:lblAlgn val="ctr"/>
        <c:lblOffset val="100"/>
        <c:tickLblSkip val="3"/>
        <c:tickMarkSkip val="1"/>
        <c:noMultiLvlLbl val="0"/>
      </c:catAx>
      <c:valAx>
        <c:axId val="132076032"/>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Arial"/>
                <a:ea typeface="Arial"/>
                <a:cs typeface="Arial"/>
              </a:defRPr>
            </a:pPr>
            <a:endParaRPr lang="en-US"/>
          </a:p>
        </c:txPr>
        <c:crossAx val="131198976"/>
        <c:crosses val="autoZero"/>
        <c:crossBetween val="between"/>
      </c:valAx>
      <c:spPr>
        <a:solidFill>
          <a:srgbClr val="C0C0C0"/>
        </a:solidFill>
        <a:ln w="12700">
          <a:solidFill>
            <a:srgbClr val="808080"/>
          </a:solidFill>
          <a:prstDash val="solid"/>
        </a:ln>
      </c:spPr>
    </c:plotArea>
    <c:legend>
      <c:legendPos val="r"/>
      <c:layout>
        <c:manualLayout>
          <c:xMode val="edge"/>
          <c:yMode val="edge"/>
          <c:x val="0.87718116201383922"/>
          <c:y val="0.32021857923497266"/>
          <c:w val="0.11297810785015509"/>
          <c:h val="0.28743169398907104"/>
        </c:manualLayout>
      </c:layout>
      <c:overlay val="0"/>
      <c:spPr>
        <a:solidFill>
          <a:srgbClr val="FFFFFF"/>
        </a:solidFill>
        <a:ln w="3175">
          <a:solidFill>
            <a:srgbClr val="000000"/>
          </a:solidFill>
          <a:prstDash val="solid"/>
        </a:ln>
      </c:spPr>
      <c:txPr>
        <a:bodyPr/>
        <a:lstStyle/>
        <a:p>
          <a:pPr>
            <a:defRPr sz="81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8639619605022988E-2"/>
          <c:y val="9.0909090909090912E-2"/>
          <c:w val="0.71336833598332483"/>
          <c:h val="0.83509501312335954"/>
        </c:manualLayout>
      </c:layout>
      <c:lineChart>
        <c:grouping val="standard"/>
        <c:varyColors val="0"/>
        <c:ser>
          <c:idx val="0"/>
          <c:order val="0"/>
          <c:tx>
            <c:strRef>
              <c:f>ASM_Annual_Fuel3_1970on!$F$76</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ASM_Annual_Fuel3_1970on!$G$75:$AU$75</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ASM_Annual_Fuel3_1970on!$G$76:$AU$76</c:f>
              <c:numCache>
                <c:formatCode>#,##0.00</c:formatCode>
                <c:ptCount val="41"/>
                <c:pt idx="0">
                  <c:v>159.09274698292725</c:v>
                </c:pt>
                <c:pt idx="1">
                  <c:v>174.40056907665885</c:v>
                </c:pt>
                <c:pt idx="2">
                  <c:v>209.55477565245272</c:v>
                </c:pt>
                <c:pt idx="3">
                  <c:v>199.50643162268227</c:v>
                </c:pt>
                <c:pt idx="4">
                  <c:v>183.40529199206608</c:v>
                </c:pt>
                <c:pt idx="5">
                  <c:v>167.84096044703415</c:v>
                </c:pt>
                <c:pt idx="6">
                  <c:v>171.86133237124594</c:v>
                </c:pt>
                <c:pt idx="7">
                  <c:v>195.61017717490614</c:v>
                </c:pt>
                <c:pt idx="8">
                  <c:v>183.32151269547202</c:v>
                </c:pt>
                <c:pt idx="9">
                  <c:v>170.57981942704774</c:v>
                </c:pt>
                <c:pt idx="10">
                  <c:v>148.87581004766508</c:v>
                </c:pt>
                <c:pt idx="11">
                  <c:v>143.31845004025831</c:v>
                </c:pt>
                <c:pt idx="12">
                  <c:v>136.26444012949824</c:v>
                </c:pt>
                <c:pt idx="13">
                  <c:v>143.92248842557854</c:v>
                </c:pt>
                <c:pt idx="14">
                  <c:v>145.58566260981641</c:v>
                </c:pt>
                <c:pt idx="15">
                  <c:v>128.43055874180072</c:v>
                </c:pt>
                <c:pt idx="16">
                  <c:v>135.02187702867309</c:v>
                </c:pt>
                <c:pt idx="17">
                  <c:v>151.42293972634729</c:v>
                </c:pt>
                <c:pt idx="18">
                  <c:v>150.36582650079393</c:v>
                </c:pt>
                <c:pt idx="19">
                  <c:v>156.13332627095838</c:v>
                </c:pt>
                <c:pt idx="20">
                  <c:v>135.02276624658089</c:v>
                </c:pt>
                <c:pt idx="21">
                  <c:v>125.61488437265322</c:v>
                </c:pt>
                <c:pt idx="22">
                  <c:v>132.95089229393827</c:v>
                </c:pt>
                <c:pt idx="23">
                  <c:v>136.77256011490636</c:v>
                </c:pt>
                <c:pt idx="24">
                  <c:v>141.58522460569185</c:v>
                </c:pt>
                <c:pt idx="25">
                  <c:v>151.80278514264387</c:v>
                </c:pt>
                <c:pt idx="26">
                  <c:v>145.59186602176126</c:v>
                </c:pt>
                <c:pt idx="27">
                  <c:v>135.30020215581013</c:v>
                </c:pt>
                <c:pt idx="28">
                  <c:v>144.39999600000002</c:v>
                </c:pt>
                <c:pt idx="29">
                  <c:v>163.77373974259751</c:v>
                </c:pt>
                <c:pt idx="30">
                  <c:v>170.55457311273068</c:v>
                </c:pt>
                <c:pt idx="31">
                  <c:v>170.96821812825092</c:v>
                </c:pt>
                <c:pt idx="32">
                  <c:v>166.54642800000002</c:v>
                </c:pt>
                <c:pt idx="33">
                  <c:v>162.38700858836174</c:v>
                </c:pt>
                <c:pt idx="34">
                  <c:v>156.34521408513098</c:v>
                </c:pt>
                <c:pt idx="35">
                  <c:v>150.24560489044413</c:v>
                </c:pt>
                <c:pt idx="36">
                  <c:v>153.785552</c:v>
                </c:pt>
                <c:pt idx="37">
                  <c:v>143.10994103075981</c:v>
                </c:pt>
                <c:pt idx="38">
                  <c:v>118.89421130373546</c:v>
                </c:pt>
                <c:pt idx="39">
                  <c:v>111.58171088640285</c:v>
                </c:pt>
                <c:pt idx="40">
                  <c:v>116</c:v>
                </c:pt>
              </c:numCache>
            </c:numRef>
          </c:val>
          <c:smooth val="0"/>
          <c:extLst>
            <c:ext xmlns:c16="http://schemas.microsoft.com/office/drawing/2014/chart" uri="{C3380CC4-5D6E-409C-BE32-E72D297353CC}">
              <c16:uniqueId val="{00000000-6CD8-4B97-9493-B9124B04DA6B}"/>
            </c:ext>
          </c:extLst>
        </c:ser>
        <c:ser>
          <c:idx val="1"/>
          <c:order val="1"/>
          <c:tx>
            <c:strRef>
              <c:f>ASM_Annual_Fuel3_1970on!$F$77</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ASM_Annual_Fuel3_1970on!$G$75:$AU$75</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ASM_Annual_Fuel3_1970on!$G$77:$AU$77</c:f>
              <c:numCache>
                <c:formatCode>#,##0.00</c:formatCode>
                <c:ptCount val="41"/>
                <c:pt idx="0">
                  <c:v>1117.4103450383041</c:v>
                </c:pt>
                <c:pt idx="1">
                  <c:v>1169.4053021794657</c:v>
                </c:pt>
                <c:pt idx="2">
                  <c:v>1209.1243584394715</c:v>
                </c:pt>
                <c:pt idx="3">
                  <c:v>1159.8330046800086</c:v>
                </c:pt>
                <c:pt idx="4">
                  <c:v>1166.0564308853952</c:v>
                </c:pt>
                <c:pt idx="5">
                  <c:v>1035.47811887231</c:v>
                </c:pt>
                <c:pt idx="6">
                  <c:v>1081.96606517787</c:v>
                </c:pt>
                <c:pt idx="7">
                  <c:v>1108.475410178173</c:v>
                </c:pt>
                <c:pt idx="8">
                  <c:v>1121.6910503926601</c:v>
                </c:pt>
                <c:pt idx="9">
                  <c:v>1110.4477758031253</c:v>
                </c:pt>
                <c:pt idx="10">
                  <c:v>984.83199894460563</c:v>
                </c:pt>
                <c:pt idx="11">
                  <c:v>939.40731186371977</c:v>
                </c:pt>
                <c:pt idx="12">
                  <c:v>785.08748857552825</c:v>
                </c:pt>
                <c:pt idx="13">
                  <c:v>856.96223110887286</c:v>
                </c:pt>
                <c:pt idx="14">
                  <c:v>866.90508828235647</c:v>
                </c:pt>
                <c:pt idx="15">
                  <c:v>791.01545520082436</c:v>
                </c:pt>
                <c:pt idx="16">
                  <c:v>833.84549437982139</c:v>
                </c:pt>
                <c:pt idx="17">
                  <c:v>865.36110422201477</c:v>
                </c:pt>
                <c:pt idx="18">
                  <c:v>884.64406029384702</c:v>
                </c:pt>
                <c:pt idx="19">
                  <c:v>872.26871686531888</c:v>
                </c:pt>
                <c:pt idx="20">
                  <c:v>839.79715936733282</c:v>
                </c:pt>
                <c:pt idx="21">
                  <c:v>788.81428212035598</c:v>
                </c:pt>
                <c:pt idx="22">
                  <c:v>834.39754001449057</c:v>
                </c:pt>
                <c:pt idx="23">
                  <c:v>866.94246720947717</c:v>
                </c:pt>
                <c:pt idx="24">
                  <c:v>822.05619657793363</c:v>
                </c:pt>
                <c:pt idx="25">
                  <c:v>836.37810053118699</c:v>
                </c:pt>
                <c:pt idx="26">
                  <c:v>768.59394669215737</c:v>
                </c:pt>
                <c:pt idx="27">
                  <c:v>781.48054541412921</c:v>
                </c:pt>
                <c:pt idx="28">
                  <c:v>834.98687599999994</c:v>
                </c:pt>
                <c:pt idx="29">
                  <c:v>887.75742962271181</c:v>
                </c:pt>
                <c:pt idx="30">
                  <c:v>860.3030388807673</c:v>
                </c:pt>
                <c:pt idx="31">
                  <c:v>844.57954689595817</c:v>
                </c:pt>
                <c:pt idx="32">
                  <c:v>910.76708400000007</c:v>
                </c:pt>
                <c:pt idx="33">
                  <c:v>843.66258808021871</c:v>
                </c:pt>
                <c:pt idx="34">
                  <c:v>846.35668023327139</c:v>
                </c:pt>
                <c:pt idx="35">
                  <c:v>887.23108283057456</c:v>
                </c:pt>
                <c:pt idx="36">
                  <c:v>958.36588800000004</c:v>
                </c:pt>
                <c:pt idx="37">
                  <c:v>888.6890971564701</c:v>
                </c:pt>
                <c:pt idx="38">
                  <c:v>744.58615673498946</c:v>
                </c:pt>
                <c:pt idx="39">
                  <c:v>646.20773136287312</c:v>
                </c:pt>
                <c:pt idx="40">
                  <c:v>600</c:v>
                </c:pt>
              </c:numCache>
            </c:numRef>
          </c:val>
          <c:smooth val="0"/>
          <c:extLst>
            <c:ext xmlns:c16="http://schemas.microsoft.com/office/drawing/2014/chart" uri="{C3380CC4-5D6E-409C-BE32-E72D297353CC}">
              <c16:uniqueId val="{00000001-6CD8-4B97-9493-B9124B04DA6B}"/>
            </c:ext>
          </c:extLst>
        </c:ser>
        <c:ser>
          <c:idx val="2"/>
          <c:order val="2"/>
          <c:tx>
            <c:strRef>
              <c:f>ASM_Annual_Fuel3_1970on!$F$78</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ASM_Annual_Fuel3_1970on!$G$75:$AU$75</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ASM_Annual_Fuel3_1970on!$G$78:$AU$78</c:f>
              <c:numCache>
                <c:formatCode>#,##0.00</c:formatCode>
                <c:ptCount val="41"/>
                <c:pt idx="0">
                  <c:v>3864.937493867963</c:v>
                </c:pt>
                <c:pt idx="1">
                  <c:v>3608.6021000310971</c:v>
                </c:pt>
                <c:pt idx="2">
                  <c:v>3785.5386145932266</c:v>
                </c:pt>
                <c:pt idx="3">
                  <c:v>4111.2014447395004</c:v>
                </c:pt>
                <c:pt idx="4">
                  <c:v>3959.3259398847586</c:v>
                </c:pt>
                <c:pt idx="5">
                  <c:v>3317.3109261313675</c:v>
                </c:pt>
                <c:pt idx="6">
                  <c:v>3401.9293768233933</c:v>
                </c:pt>
                <c:pt idx="7">
                  <c:v>3345.2362405259669</c:v>
                </c:pt>
                <c:pt idx="8">
                  <c:v>3518.5332993251623</c:v>
                </c:pt>
                <c:pt idx="9">
                  <c:v>3553.3532623192036</c:v>
                </c:pt>
                <c:pt idx="10">
                  <c:v>2885.7306579716974</c:v>
                </c:pt>
                <c:pt idx="11">
                  <c:v>2863.4257409779875</c:v>
                </c:pt>
                <c:pt idx="12">
                  <c:v>1939.1872750254779</c:v>
                </c:pt>
                <c:pt idx="13">
                  <c:v>2131.381677855878</c:v>
                </c:pt>
                <c:pt idx="14">
                  <c:v>2131.9359881692862</c:v>
                </c:pt>
                <c:pt idx="15">
                  <c:v>1931.5726855408925</c:v>
                </c:pt>
                <c:pt idx="16">
                  <c:v>1819.4681276410374</c:v>
                </c:pt>
                <c:pt idx="17">
                  <c:v>1819.8952963174174</c:v>
                </c:pt>
                <c:pt idx="18">
                  <c:v>2134.8918237453663</c:v>
                </c:pt>
                <c:pt idx="19">
                  <c:v>2135.9489196898717</c:v>
                </c:pt>
                <c:pt idx="20">
                  <c:v>2058.910056035751</c:v>
                </c:pt>
                <c:pt idx="21">
                  <c:v>1811.54797443144</c:v>
                </c:pt>
                <c:pt idx="22">
                  <c:v>1860.7007555363432</c:v>
                </c:pt>
                <c:pt idx="23">
                  <c:v>1980.5512991134312</c:v>
                </c:pt>
                <c:pt idx="24">
                  <c:v>2096.657607556745</c:v>
                </c:pt>
                <c:pt idx="25">
                  <c:v>2018.3220014173257</c:v>
                </c:pt>
                <c:pt idx="26">
                  <c:v>2087.7303780101934</c:v>
                </c:pt>
                <c:pt idx="27">
                  <c:v>2032.416827386887</c:v>
                </c:pt>
                <c:pt idx="28">
                  <c:v>2031.356088</c:v>
                </c:pt>
                <c:pt idx="29">
                  <c:v>1927.9607115402796</c:v>
                </c:pt>
                <c:pt idx="30">
                  <c:v>1984.8032031815608</c:v>
                </c:pt>
                <c:pt idx="31">
                  <c:v>1881.1112478914877</c:v>
                </c:pt>
                <c:pt idx="32">
                  <c:v>1629.9591760000001</c:v>
                </c:pt>
                <c:pt idx="33">
                  <c:v>1681.9663811639548</c:v>
                </c:pt>
                <c:pt idx="34">
                  <c:v>1709.7117812587637</c:v>
                </c:pt>
                <c:pt idx="35">
                  <c:v>1414.7412336622619</c:v>
                </c:pt>
                <c:pt idx="36">
                  <c:v>1285.6831</c:v>
                </c:pt>
                <c:pt idx="37">
                  <c:v>1398.596658536504</c:v>
                </c:pt>
                <c:pt idx="38">
                  <c:v>1367.2205669627242</c:v>
                </c:pt>
                <c:pt idx="39">
                  <c:v>960.90080405798346</c:v>
                </c:pt>
                <c:pt idx="40">
                  <c:v>1255</c:v>
                </c:pt>
              </c:numCache>
            </c:numRef>
          </c:val>
          <c:smooth val="0"/>
          <c:extLst>
            <c:ext xmlns:c16="http://schemas.microsoft.com/office/drawing/2014/chart" uri="{C3380CC4-5D6E-409C-BE32-E72D297353CC}">
              <c16:uniqueId val="{00000002-6CD8-4B97-9493-B9124B04DA6B}"/>
            </c:ext>
          </c:extLst>
        </c:ser>
        <c:ser>
          <c:idx val="3"/>
          <c:order val="3"/>
          <c:tx>
            <c:strRef>
              <c:f>ASM_Annual_Fuel3_1970on!$F$79</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ASM_Annual_Fuel3_1970on!$G$75:$AU$75</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ASM_Annual_Fuel3_1970on!$G$79:$AU$79</c:f>
              <c:numCache>
                <c:formatCode>#,##0.00</c:formatCode>
                <c:ptCount val="41"/>
                <c:pt idx="0">
                  <c:v>344.88659524895439</c:v>
                </c:pt>
                <c:pt idx="1">
                  <c:v>331.02849974109631</c:v>
                </c:pt>
                <c:pt idx="2">
                  <c:v>343.77320812399466</c:v>
                </c:pt>
                <c:pt idx="3">
                  <c:v>325.62117898117543</c:v>
                </c:pt>
                <c:pt idx="4">
                  <c:v>293.69135137908847</c:v>
                </c:pt>
                <c:pt idx="5">
                  <c:v>275.58926308356416</c:v>
                </c:pt>
                <c:pt idx="6">
                  <c:v>278.00111223816049</c:v>
                </c:pt>
                <c:pt idx="7">
                  <c:v>285.25328852059283</c:v>
                </c:pt>
                <c:pt idx="8">
                  <c:v>295.90446588048593</c:v>
                </c:pt>
                <c:pt idx="9">
                  <c:v>287.30153484874103</c:v>
                </c:pt>
                <c:pt idx="10">
                  <c:v>268.52909341700325</c:v>
                </c:pt>
                <c:pt idx="11">
                  <c:v>258.21315692472746</c:v>
                </c:pt>
                <c:pt idx="12">
                  <c:v>255.11123699757593</c:v>
                </c:pt>
                <c:pt idx="13">
                  <c:v>253.36571338825021</c:v>
                </c:pt>
                <c:pt idx="14">
                  <c:v>244.02633808062384</c:v>
                </c:pt>
                <c:pt idx="15">
                  <c:v>218.6220851003327</c:v>
                </c:pt>
                <c:pt idx="16">
                  <c:v>236.43141790334087</c:v>
                </c:pt>
                <c:pt idx="17">
                  <c:v>242.60813301921721</c:v>
                </c:pt>
                <c:pt idx="18">
                  <c:v>251.14969713900282</c:v>
                </c:pt>
                <c:pt idx="19">
                  <c:v>241.61252681571094</c:v>
                </c:pt>
                <c:pt idx="20">
                  <c:v>222.61909858361435</c:v>
                </c:pt>
                <c:pt idx="21">
                  <c:v>217.28105279356296</c:v>
                </c:pt>
                <c:pt idx="22">
                  <c:v>221.51344199750795</c:v>
                </c:pt>
                <c:pt idx="23">
                  <c:v>238.70978614279537</c:v>
                </c:pt>
                <c:pt idx="24">
                  <c:v>263.57968281835372</c:v>
                </c:pt>
                <c:pt idx="25">
                  <c:v>289.62365431759213</c:v>
                </c:pt>
                <c:pt idx="26">
                  <c:v>248.28781667305427</c:v>
                </c:pt>
                <c:pt idx="27">
                  <c:v>234.68145352408129</c:v>
                </c:pt>
                <c:pt idx="28">
                  <c:v>265.28541200000001</c:v>
                </c:pt>
                <c:pt idx="29">
                  <c:v>288.74371654908276</c:v>
                </c:pt>
                <c:pt idx="30">
                  <c:v>253.16629233678722</c:v>
                </c:pt>
                <c:pt idx="31">
                  <c:v>236.80312759318167</c:v>
                </c:pt>
                <c:pt idx="32">
                  <c:v>226.21632399999999</c:v>
                </c:pt>
                <c:pt idx="33">
                  <c:v>210.87604467529428</c:v>
                </c:pt>
                <c:pt idx="34">
                  <c:v>206.00060290700236</c:v>
                </c:pt>
                <c:pt idx="35">
                  <c:v>209.91812999611622</c:v>
                </c:pt>
                <c:pt idx="36">
                  <c:v>253.81542000000002</c:v>
                </c:pt>
                <c:pt idx="37">
                  <c:v>236.27608038255704</c:v>
                </c:pt>
                <c:pt idx="38">
                  <c:v>186.52536210085808</c:v>
                </c:pt>
                <c:pt idx="39">
                  <c:v>192.36823377378479</c:v>
                </c:pt>
                <c:pt idx="40">
                  <c:v>174</c:v>
                </c:pt>
              </c:numCache>
            </c:numRef>
          </c:val>
          <c:smooth val="0"/>
          <c:extLst>
            <c:ext xmlns:c16="http://schemas.microsoft.com/office/drawing/2014/chart" uri="{C3380CC4-5D6E-409C-BE32-E72D297353CC}">
              <c16:uniqueId val="{00000003-6CD8-4B97-9493-B9124B04DA6B}"/>
            </c:ext>
          </c:extLst>
        </c:ser>
        <c:dLbls>
          <c:showLegendKey val="0"/>
          <c:showVal val="0"/>
          <c:showCatName val="0"/>
          <c:showSerName val="0"/>
          <c:showPercent val="0"/>
          <c:showBubbleSize val="0"/>
        </c:dLbls>
        <c:marker val="1"/>
        <c:smooth val="0"/>
        <c:axId val="131199488"/>
        <c:axId val="132078336"/>
      </c:lineChart>
      <c:catAx>
        <c:axId val="13119948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078336"/>
        <c:crosses val="autoZero"/>
        <c:auto val="1"/>
        <c:lblAlgn val="ctr"/>
        <c:lblOffset val="100"/>
        <c:tickLblSkip val="3"/>
        <c:tickMarkSkip val="1"/>
        <c:noMultiLvlLbl val="0"/>
      </c:catAx>
      <c:valAx>
        <c:axId val="132078336"/>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a:ea typeface="Arial"/>
                <a:cs typeface="Arial"/>
              </a:defRPr>
            </a:pPr>
            <a:endParaRPr lang="en-US"/>
          </a:p>
        </c:txPr>
        <c:crossAx val="131199488"/>
        <c:crosses val="autoZero"/>
        <c:crossBetween val="between"/>
      </c:valAx>
      <c:spPr>
        <a:solidFill>
          <a:srgbClr val="C0C0C0"/>
        </a:solidFill>
        <a:ln w="12700">
          <a:solidFill>
            <a:srgbClr val="808080"/>
          </a:solidFill>
          <a:prstDash val="solid"/>
        </a:ln>
      </c:spPr>
    </c:plotArea>
    <c:legend>
      <c:legendPos val="r"/>
      <c:layout>
        <c:manualLayout>
          <c:xMode val="edge"/>
          <c:yMode val="edge"/>
          <c:x val="0.86734836716838959"/>
          <c:y val="0.31818181818181818"/>
          <c:w val="0.11904779759672901"/>
          <c:h val="0.3149350649350649"/>
        </c:manualLayout>
      </c:layout>
      <c:overlay val="0"/>
      <c:spPr>
        <a:solidFill>
          <a:srgbClr val="FFFFFF"/>
        </a:solidFill>
        <a:ln w="3175">
          <a:solidFill>
            <a:srgbClr val="000000"/>
          </a:solidFill>
          <a:prstDash val="solid"/>
        </a:ln>
      </c:spPr>
      <c:txPr>
        <a:bodyPr/>
        <a:lstStyle/>
        <a:p>
          <a:pPr>
            <a:defRPr sz="8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414986605459791"/>
          <c:y val="8.8815932128797237E-2"/>
          <c:w val="0.73469509774775743"/>
          <c:h val="0.71381693599811114"/>
        </c:manualLayout>
      </c:layout>
      <c:lineChart>
        <c:grouping val="standard"/>
        <c:varyColors val="0"/>
        <c:ser>
          <c:idx val="0"/>
          <c:order val="0"/>
          <c:tx>
            <c:strRef>
              <c:f>ASM_Annual_Fuel3_1970on!$F$97</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ASM_Annual_Fuel3_1970on!$G$96:$AU$96</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ASM_Annual_Fuel3_1970on!$G$97:$AU$97</c:f>
              <c:numCache>
                <c:formatCode>#,##0.00</c:formatCode>
                <c:ptCount val="41"/>
                <c:pt idx="0">
                  <c:v>205.43169611777287</c:v>
                </c:pt>
                <c:pt idx="1">
                  <c:v>209.66272055006277</c:v>
                </c:pt>
                <c:pt idx="2">
                  <c:v>218.39703797300956</c:v>
                </c:pt>
                <c:pt idx="3">
                  <c:v>210.94368618770071</c:v>
                </c:pt>
                <c:pt idx="4">
                  <c:v>200.25859350879159</c:v>
                </c:pt>
                <c:pt idx="5">
                  <c:v>183.33232342411438</c:v>
                </c:pt>
                <c:pt idx="6">
                  <c:v>180.21861384703968</c:v>
                </c:pt>
                <c:pt idx="7">
                  <c:v>163.98140169242498</c:v>
                </c:pt>
                <c:pt idx="8">
                  <c:v>169.4214943772657</c:v>
                </c:pt>
                <c:pt idx="9">
                  <c:v>171.43799219024862</c:v>
                </c:pt>
                <c:pt idx="10">
                  <c:v>159.98993177375115</c:v>
                </c:pt>
                <c:pt idx="11">
                  <c:v>149.91649472996102</c:v>
                </c:pt>
                <c:pt idx="12">
                  <c:v>146.71824713642917</c:v>
                </c:pt>
                <c:pt idx="13">
                  <c:v>141.06442348681631</c:v>
                </c:pt>
                <c:pt idx="14">
                  <c:v>139.366750624193</c:v>
                </c:pt>
                <c:pt idx="15">
                  <c:v>118.55685257512636</c:v>
                </c:pt>
                <c:pt idx="16">
                  <c:v>131.76262360948817</c:v>
                </c:pt>
                <c:pt idx="17">
                  <c:v>133.59407668064966</c:v>
                </c:pt>
                <c:pt idx="18">
                  <c:v>138.88393804304263</c:v>
                </c:pt>
                <c:pt idx="19">
                  <c:v>135.84765730352257</c:v>
                </c:pt>
                <c:pt idx="20">
                  <c:v>120.63206911012374</c:v>
                </c:pt>
                <c:pt idx="21">
                  <c:v>113.47965946591772</c:v>
                </c:pt>
                <c:pt idx="22">
                  <c:v>107.05467343210731</c:v>
                </c:pt>
                <c:pt idx="23">
                  <c:v>108.0675573372492</c:v>
                </c:pt>
                <c:pt idx="24">
                  <c:v>112.92234511482371</c:v>
                </c:pt>
                <c:pt idx="25">
                  <c:v>126.83165939971266</c:v>
                </c:pt>
                <c:pt idx="26">
                  <c:v>112.60870645818754</c:v>
                </c:pt>
                <c:pt idx="27">
                  <c:v>106.43670136428443</c:v>
                </c:pt>
                <c:pt idx="28">
                  <c:v>116.85666400000001</c:v>
                </c:pt>
                <c:pt idx="29">
                  <c:v>123.53689957565348</c:v>
                </c:pt>
                <c:pt idx="30">
                  <c:v>105.82598083764137</c:v>
                </c:pt>
                <c:pt idx="31">
                  <c:v>100.6870972290484</c:v>
                </c:pt>
                <c:pt idx="32">
                  <c:v>91.191044000000005</c:v>
                </c:pt>
                <c:pt idx="33">
                  <c:v>77.406168726625395</c:v>
                </c:pt>
                <c:pt idx="34">
                  <c:v>80.038938927797375</c:v>
                </c:pt>
                <c:pt idx="35">
                  <c:v>81.01961365117613</c:v>
                </c:pt>
                <c:pt idx="36">
                  <c:v>93.471671999999998</c:v>
                </c:pt>
                <c:pt idx="37">
                  <c:v>100.2520387130355</c:v>
                </c:pt>
                <c:pt idx="38">
                  <c:v>78.853051261641937</c:v>
                </c:pt>
                <c:pt idx="39">
                  <c:v>87.825004558862744</c:v>
                </c:pt>
                <c:pt idx="40">
                  <c:v>78</c:v>
                </c:pt>
              </c:numCache>
            </c:numRef>
          </c:val>
          <c:smooth val="0"/>
          <c:extLst>
            <c:ext xmlns:c16="http://schemas.microsoft.com/office/drawing/2014/chart" uri="{C3380CC4-5D6E-409C-BE32-E72D297353CC}">
              <c16:uniqueId val="{00000000-9C2A-47AD-98A6-BBB57A9D3DAA}"/>
            </c:ext>
          </c:extLst>
        </c:ser>
        <c:ser>
          <c:idx val="1"/>
          <c:order val="1"/>
          <c:tx>
            <c:strRef>
              <c:f>ASM_Annual_Fuel3_1970on!$F$98</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ASM_Annual_Fuel3_1970on!$G$96:$AU$96</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ASM_Annual_Fuel3_1970on!$G$98:$AU$98</c:f>
              <c:numCache>
                <c:formatCode>#,##0.00</c:formatCode>
                <c:ptCount val="41"/>
                <c:pt idx="0">
                  <c:v>74.994206099761243</c:v>
                </c:pt>
                <c:pt idx="1">
                  <c:v>75.879990271664923</c:v>
                </c:pt>
                <c:pt idx="2">
                  <c:v>74.747061380193131</c:v>
                </c:pt>
                <c:pt idx="3">
                  <c:v>64.99906124642898</c:v>
                </c:pt>
                <c:pt idx="4">
                  <c:v>54.711571164345017</c:v>
                </c:pt>
                <c:pt idx="5">
                  <c:v>55.200028279715859</c:v>
                </c:pt>
                <c:pt idx="6">
                  <c:v>54.859566379897664</c:v>
                </c:pt>
                <c:pt idx="7">
                  <c:v>52.983336111267811</c:v>
                </c:pt>
                <c:pt idx="8">
                  <c:v>56.9354068358452</c:v>
                </c:pt>
                <c:pt idx="9">
                  <c:v>53.106404776990686</c:v>
                </c:pt>
                <c:pt idx="10">
                  <c:v>52.692981163001093</c:v>
                </c:pt>
                <c:pt idx="11">
                  <c:v>50.110291723208206</c:v>
                </c:pt>
                <c:pt idx="12">
                  <c:v>56.145183757856287</c:v>
                </c:pt>
                <c:pt idx="13">
                  <c:v>56.920181481751008</c:v>
                </c:pt>
                <c:pt idx="14">
                  <c:v>57.108867653751616</c:v>
                </c:pt>
                <c:pt idx="15">
                  <c:v>54.78945572429496</c:v>
                </c:pt>
                <c:pt idx="16">
                  <c:v>56.773381394787812</c:v>
                </c:pt>
                <c:pt idx="17">
                  <c:v>60.400035479019486</c:v>
                </c:pt>
                <c:pt idx="18">
                  <c:v>62.693189717341816</c:v>
                </c:pt>
                <c:pt idx="19">
                  <c:v>62.697248115282292</c:v>
                </c:pt>
                <c:pt idx="20">
                  <c:v>58.165999612572094</c:v>
                </c:pt>
                <c:pt idx="21">
                  <c:v>56.220714404637988</c:v>
                </c:pt>
                <c:pt idx="22">
                  <c:v>60.22308177563918</c:v>
                </c:pt>
                <c:pt idx="23">
                  <c:v>64.59076180040033</c:v>
                </c:pt>
                <c:pt idx="24">
                  <c:v>66.930484972733723</c:v>
                </c:pt>
                <c:pt idx="25">
                  <c:v>73.038453387793254</c:v>
                </c:pt>
                <c:pt idx="26">
                  <c:v>72.049060260742735</c:v>
                </c:pt>
                <c:pt idx="27">
                  <c:v>65.619117583298419</c:v>
                </c:pt>
                <c:pt idx="28">
                  <c:v>67.813715999999999</c:v>
                </c:pt>
                <c:pt idx="29">
                  <c:v>75.412349760347183</c:v>
                </c:pt>
                <c:pt idx="30">
                  <c:v>77.55543180251361</c:v>
                </c:pt>
                <c:pt idx="31">
                  <c:v>65.334678752934266</c:v>
                </c:pt>
                <c:pt idx="32">
                  <c:v>69.142976000000004</c:v>
                </c:pt>
                <c:pt idx="33">
                  <c:v>51.968914187404209</c:v>
                </c:pt>
                <c:pt idx="34">
                  <c:v>42.613564787609363</c:v>
                </c:pt>
                <c:pt idx="35">
                  <c:v>42.539054285313028</c:v>
                </c:pt>
                <c:pt idx="36">
                  <c:v>47.139291999999998</c:v>
                </c:pt>
                <c:pt idx="37">
                  <c:v>59.317149731278079</c:v>
                </c:pt>
                <c:pt idx="38">
                  <c:v>43.705219316728574</c:v>
                </c:pt>
                <c:pt idx="39">
                  <c:v>43.349239751799061</c:v>
                </c:pt>
                <c:pt idx="40">
                  <c:v>43</c:v>
                </c:pt>
              </c:numCache>
            </c:numRef>
          </c:val>
          <c:smooth val="0"/>
          <c:extLst>
            <c:ext xmlns:c16="http://schemas.microsoft.com/office/drawing/2014/chart" uri="{C3380CC4-5D6E-409C-BE32-E72D297353CC}">
              <c16:uniqueId val="{00000001-9C2A-47AD-98A6-BBB57A9D3DAA}"/>
            </c:ext>
          </c:extLst>
        </c:ser>
        <c:ser>
          <c:idx val="2"/>
          <c:order val="2"/>
          <c:tx>
            <c:strRef>
              <c:f>ASM_Annual_Fuel3_1970on!$F$99</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ASM_Annual_Fuel3_1970on!$G$96:$AU$96</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ASM_Annual_Fuel3_1970on!$G$99:$AU$99</c:f>
              <c:numCache>
                <c:formatCode>#,##0.00</c:formatCode>
                <c:ptCount val="41"/>
                <c:pt idx="0">
                  <c:v>105.66084719365652</c:v>
                </c:pt>
                <c:pt idx="1">
                  <c:v>104.94400315600448</c:v>
                </c:pt>
                <c:pt idx="2">
                  <c:v>110.22258197871564</c:v>
                </c:pt>
                <c:pt idx="3">
                  <c:v>107.88458131294843</c:v>
                </c:pt>
                <c:pt idx="4">
                  <c:v>95.738404505607377</c:v>
                </c:pt>
                <c:pt idx="5">
                  <c:v>82.895915930684069</c:v>
                </c:pt>
                <c:pt idx="6">
                  <c:v>87.675471319961019</c:v>
                </c:pt>
                <c:pt idx="7">
                  <c:v>84.714250197230314</c:v>
                </c:pt>
                <c:pt idx="8">
                  <c:v>86.547545354139999</c:v>
                </c:pt>
                <c:pt idx="9">
                  <c:v>87.165287787165781</c:v>
                </c:pt>
                <c:pt idx="10">
                  <c:v>79.10024335567347</c:v>
                </c:pt>
                <c:pt idx="11">
                  <c:v>75.069692323553895</c:v>
                </c:pt>
                <c:pt idx="12">
                  <c:v>71.438470733898484</c:v>
                </c:pt>
                <c:pt idx="13">
                  <c:v>74.6434952451839</c:v>
                </c:pt>
                <c:pt idx="14">
                  <c:v>72.050738028216614</c:v>
                </c:pt>
                <c:pt idx="15">
                  <c:v>62.919467623803939</c:v>
                </c:pt>
                <c:pt idx="16">
                  <c:v>69.916919680982033</c:v>
                </c:pt>
                <c:pt idx="17">
                  <c:v>67.361584373291663</c:v>
                </c:pt>
                <c:pt idx="18">
                  <c:v>64.55717435203718</c:v>
                </c:pt>
                <c:pt idx="19">
                  <c:v>64.994227835018435</c:v>
                </c:pt>
                <c:pt idx="20">
                  <c:v>57.975944538459906</c:v>
                </c:pt>
                <c:pt idx="21">
                  <c:v>55.611292613491038</c:v>
                </c:pt>
                <c:pt idx="22">
                  <c:v>57.234985489425249</c:v>
                </c:pt>
                <c:pt idx="23">
                  <c:v>62.688490345889321</c:v>
                </c:pt>
                <c:pt idx="24">
                  <c:v>67.848599515192888</c:v>
                </c:pt>
                <c:pt idx="25">
                  <c:v>77.856750209741236</c:v>
                </c:pt>
                <c:pt idx="26">
                  <c:v>67.460163031968875</c:v>
                </c:pt>
                <c:pt idx="27">
                  <c:v>58.848707074425718</c:v>
                </c:pt>
                <c:pt idx="28">
                  <c:v>60.671008</c:v>
                </c:pt>
                <c:pt idx="29">
                  <c:v>66.741514974897328</c:v>
                </c:pt>
                <c:pt idx="30">
                  <c:v>60.834662292932563</c:v>
                </c:pt>
                <c:pt idx="31">
                  <c:v>57.139295822194057</c:v>
                </c:pt>
                <c:pt idx="32">
                  <c:v>55.569788000000003</c:v>
                </c:pt>
                <c:pt idx="33">
                  <c:v>46.141970005738216</c:v>
                </c:pt>
                <c:pt idx="34">
                  <c:v>40.590875635963556</c:v>
                </c:pt>
                <c:pt idx="35">
                  <c:v>39.675361294282581</c:v>
                </c:pt>
                <c:pt idx="36">
                  <c:v>43.097796000000002</c:v>
                </c:pt>
                <c:pt idx="37">
                  <c:v>45.825803281131591</c:v>
                </c:pt>
                <c:pt idx="38">
                  <c:v>37.150422470058906</c:v>
                </c:pt>
                <c:pt idx="39">
                  <c:v>36.104547894183433</c:v>
                </c:pt>
                <c:pt idx="40">
                  <c:v>38</c:v>
                </c:pt>
              </c:numCache>
            </c:numRef>
          </c:val>
          <c:smooth val="0"/>
          <c:extLst>
            <c:ext xmlns:c16="http://schemas.microsoft.com/office/drawing/2014/chart" uri="{C3380CC4-5D6E-409C-BE32-E72D297353CC}">
              <c16:uniqueId val="{00000002-9C2A-47AD-98A6-BBB57A9D3DAA}"/>
            </c:ext>
          </c:extLst>
        </c:ser>
        <c:ser>
          <c:idx val="3"/>
          <c:order val="3"/>
          <c:tx>
            <c:strRef>
              <c:f>ASM_Annual_Fuel3_1970on!$F$100</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ASM_Annual_Fuel3_1970on!$G$96:$AU$96</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ASM_Annual_Fuel3_1970on!$G$100:$AU$100</c:f>
              <c:numCache>
                <c:formatCode>#,##0.00</c:formatCode>
                <c:ptCount val="41"/>
                <c:pt idx="0">
                  <c:v>291.57455618133025</c:v>
                </c:pt>
                <c:pt idx="1">
                  <c:v>305.33717812676463</c:v>
                </c:pt>
                <c:pt idx="2">
                  <c:v>312.66549800977111</c:v>
                </c:pt>
                <c:pt idx="3">
                  <c:v>293.10981567003518</c:v>
                </c:pt>
                <c:pt idx="4">
                  <c:v>278.49585239729356</c:v>
                </c:pt>
                <c:pt idx="5">
                  <c:v>261.61018655965438</c:v>
                </c:pt>
                <c:pt idx="6">
                  <c:v>287.01035993942787</c:v>
                </c:pt>
                <c:pt idx="7">
                  <c:v>304.37811782877924</c:v>
                </c:pt>
                <c:pt idx="8">
                  <c:v>312.69301477526511</c:v>
                </c:pt>
                <c:pt idx="9">
                  <c:v>295.31124400025766</c:v>
                </c:pt>
                <c:pt idx="10">
                  <c:v>259.04671378326719</c:v>
                </c:pt>
                <c:pt idx="11">
                  <c:v>245.592678776209</c:v>
                </c:pt>
                <c:pt idx="12">
                  <c:v>227.04383602320218</c:v>
                </c:pt>
                <c:pt idx="13">
                  <c:v>254.64916290082834</c:v>
                </c:pt>
                <c:pt idx="14">
                  <c:v>264.14226388134483</c:v>
                </c:pt>
                <c:pt idx="15">
                  <c:v>234.98001273849101</c:v>
                </c:pt>
                <c:pt idx="16">
                  <c:v>244.14932796917603</c:v>
                </c:pt>
                <c:pt idx="17">
                  <c:v>242.38099655777575</c:v>
                </c:pt>
                <c:pt idx="18">
                  <c:v>254.78050349600764</c:v>
                </c:pt>
                <c:pt idx="19">
                  <c:v>251.14742131079424</c:v>
                </c:pt>
                <c:pt idx="20">
                  <c:v>237.32816845389928</c:v>
                </c:pt>
                <c:pt idx="21">
                  <c:v>244.13057132985355</c:v>
                </c:pt>
                <c:pt idx="22">
                  <c:v>253.07663671240181</c:v>
                </c:pt>
                <c:pt idx="23">
                  <c:v>281.57130919761488</c:v>
                </c:pt>
                <c:pt idx="24">
                  <c:v>260.23443301298028</c:v>
                </c:pt>
                <c:pt idx="25">
                  <c:v>278.41898668330401</c:v>
                </c:pt>
                <c:pt idx="26">
                  <c:v>260.19136025138812</c:v>
                </c:pt>
                <c:pt idx="27">
                  <c:v>258.23641416413506</c:v>
                </c:pt>
                <c:pt idx="28">
                  <c:v>292.75512400000002</c:v>
                </c:pt>
                <c:pt idx="29">
                  <c:v>276.64336592279864</c:v>
                </c:pt>
                <c:pt idx="30">
                  <c:v>246.84021245432757</c:v>
                </c:pt>
                <c:pt idx="31">
                  <c:v>257.20038854295694</c:v>
                </c:pt>
                <c:pt idx="32">
                  <c:v>251.66670399999998</c:v>
                </c:pt>
                <c:pt idx="33">
                  <c:v>229.98821579246055</c:v>
                </c:pt>
                <c:pt idx="34">
                  <c:v>241.72063665115977</c:v>
                </c:pt>
                <c:pt idx="35">
                  <c:v>235.38043019571958</c:v>
                </c:pt>
                <c:pt idx="36">
                  <c:v>283.93937199999999</c:v>
                </c:pt>
                <c:pt idx="37">
                  <c:v>255.92503066606668</c:v>
                </c:pt>
                <c:pt idx="38">
                  <c:v>178.02133203826156</c:v>
                </c:pt>
                <c:pt idx="39">
                  <c:v>172.38272816028737</c:v>
                </c:pt>
                <c:pt idx="40">
                  <c:v>143</c:v>
                </c:pt>
              </c:numCache>
            </c:numRef>
          </c:val>
          <c:smooth val="0"/>
          <c:extLst>
            <c:ext xmlns:c16="http://schemas.microsoft.com/office/drawing/2014/chart" uri="{C3380CC4-5D6E-409C-BE32-E72D297353CC}">
              <c16:uniqueId val="{00000003-9C2A-47AD-98A6-BBB57A9D3DAA}"/>
            </c:ext>
          </c:extLst>
        </c:ser>
        <c:dLbls>
          <c:showLegendKey val="0"/>
          <c:showVal val="0"/>
          <c:showCatName val="0"/>
          <c:showSerName val="0"/>
          <c:showPercent val="0"/>
          <c:showBubbleSize val="0"/>
        </c:dLbls>
        <c:marker val="1"/>
        <c:smooth val="0"/>
        <c:axId val="131963904"/>
        <c:axId val="131392640"/>
      </c:lineChart>
      <c:catAx>
        <c:axId val="1319639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1392640"/>
        <c:crosses val="autoZero"/>
        <c:auto val="1"/>
        <c:lblAlgn val="ctr"/>
        <c:lblOffset val="100"/>
        <c:tickLblSkip val="2"/>
        <c:tickMarkSkip val="1"/>
        <c:noMultiLvlLbl val="0"/>
      </c:catAx>
      <c:valAx>
        <c:axId val="131392640"/>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150" b="0" i="0" u="none" strike="noStrike" baseline="0">
                <a:solidFill>
                  <a:srgbClr val="000000"/>
                </a:solidFill>
                <a:latin typeface="Arial"/>
                <a:ea typeface="Arial"/>
                <a:cs typeface="Arial"/>
              </a:defRPr>
            </a:pPr>
            <a:endParaRPr lang="en-US"/>
          </a:p>
        </c:txPr>
        <c:crossAx val="131963904"/>
        <c:crosses val="autoZero"/>
        <c:crossBetween val="between"/>
      </c:valAx>
      <c:spPr>
        <a:solidFill>
          <a:srgbClr val="C0C0C0"/>
        </a:solidFill>
        <a:ln w="12700">
          <a:solidFill>
            <a:srgbClr val="808080"/>
          </a:solidFill>
          <a:prstDash val="solid"/>
        </a:ln>
      </c:spPr>
    </c:plotArea>
    <c:legend>
      <c:legendPos val="r"/>
      <c:layout>
        <c:manualLayout>
          <c:xMode val="edge"/>
          <c:yMode val="edge"/>
          <c:x val="0.87755244880104266"/>
          <c:y val="0.29276350324630473"/>
          <c:w val="0.10884371596407594"/>
          <c:h val="0.30592139798314688"/>
        </c:manualLayout>
      </c:layout>
      <c:overlay val="0"/>
      <c:spPr>
        <a:solidFill>
          <a:srgbClr val="FFFFFF"/>
        </a:solidFill>
        <a:ln w="3175">
          <a:solidFill>
            <a:srgbClr val="000000"/>
          </a:solidFill>
          <a:prstDash val="solid"/>
        </a:ln>
      </c:spPr>
      <c:txPr>
        <a:bodyPr/>
        <a:lstStyle/>
        <a:p>
          <a:pPr>
            <a:defRPr sz="81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139942089325508"/>
          <c:y val="9.8113388328029794E-2"/>
          <c:w val="0.71605082153987742"/>
          <c:h val="0.67547294271989744"/>
        </c:manualLayout>
      </c:layout>
      <c:lineChart>
        <c:grouping val="standard"/>
        <c:varyColors val="0"/>
        <c:ser>
          <c:idx val="0"/>
          <c:order val="0"/>
          <c:tx>
            <c:strRef>
              <c:f>ASM_Annual_Fuel3_1970on!$F$128</c:f>
              <c:strCache>
                <c:ptCount val="1"/>
                <c:pt idx="0">
                  <c:v>337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ASM_Annual_Fuel3_1970on!$G$127:$AU$127</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ASM_Annual_Fuel3_1970on!$G$128:$AU$128</c:f>
              <c:numCache>
                <c:formatCode>0.00</c:formatCode>
                <c:ptCount val="41"/>
                <c:pt idx="0">
                  <c:v>41.637418450355618</c:v>
                </c:pt>
                <c:pt idx="1">
                  <c:v>45.136137426316026</c:v>
                </c:pt>
                <c:pt idx="2">
                  <c:v>50.471560662555731</c:v>
                </c:pt>
                <c:pt idx="3">
                  <c:v>44.224441887244147</c:v>
                </c:pt>
                <c:pt idx="4">
                  <c:v>45.016686554556983</c:v>
                </c:pt>
                <c:pt idx="5">
                  <c:v>38.122775143277181</c:v>
                </c:pt>
                <c:pt idx="6">
                  <c:v>37.911695008283047</c:v>
                </c:pt>
                <c:pt idx="7">
                  <c:v>41.259059285128885</c:v>
                </c:pt>
                <c:pt idx="8">
                  <c:v>43.625017700421623</c:v>
                </c:pt>
                <c:pt idx="9">
                  <c:v>41.539353256530084</c:v>
                </c:pt>
                <c:pt idx="10">
                  <c:v>37.846453060468896</c:v>
                </c:pt>
                <c:pt idx="11">
                  <c:v>35.349587816966157</c:v>
                </c:pt>
                <c:pt idx="12">
                  <c:v>32.584803977169017</c:v>
                </c:pt>
                <c:pt idx="13">
                  <c:v>34.528968276392881</c:v>
                </c:pt>
                <c:pt idx="14">
                  <c:v>38.287353267419007</c:v>
                </c:pt>
                <c:pt idx="15">
                  <c:v>37.383822846973821</c:v>
                </c:pt>
                <c:pt idx="16">
                  <c:v>42.985850897299549</c:v>
                </c:pt>
                <c:pt idx="17">
                  <c:v>46.939987356383909</c:v>
                </c:pt>
                <c:pt idx="18">
                  <c:v>48.640156995919362</c:v>
                </c:pt>
                <c:pt idx="19">
                  <c:v>54.790411286187279</c:v>
                </c:pt>
                <c:pt idx="20">
                  <c:v>52.543324444208949</c:v>
                </c:pt>
                <c:pt idx="21">
                  <c:v>55.8843501953478</c:v>
                </c:pt>
                <c:pt idx="22">
                  <c:v>52.652898635297085</c:v>
                </c:pt>
                <c:pt idx="23">
                  <c:v>50.694628080839159</c:v>
                </c:pt>
                <c:pt idx="24">
                  <c:v>47.300771088826892</c:v>
                </c:pt>
                <c:pt idx="25">
                  <c:v>55.003014814745541</c:v>
                </c:pt>
                <c:pt idx="26">
                  <c:v>51.030768858049989</c:v>
                </c:pt>
                <c:pt idx="27">
                  <c:v>51.656782449462625</c:v>
                </c:pt>
                <c:pt idx="28">
                  <c:v>58.499848</c:v>
                </c:pt>
                <c:pt idx="29">
                  <c:v>60.507721609016151</c:v>
                </c:pt>
                <c:pt idx="30">
                  <c:v>50.020066867969469</c:v>
                </c:pt>
                <c:pt idx="31">
                  <c:v>42.856703444423736</c:v>
                </c:pt>
                <c:pt idx="32">
                  <c:v>38.904455999999996</c:v>
                </c:pt>
                <c:pt idx="33">
                  <c:v>29.433026608129488</c:v>
                </c:pt>
                <c:pt idx="34">
                  <c:v>28.467484332631365</c:v>
                </c:pt>
                <c:pt idx="35">
                  <c:v>26.177017904743494</c:v>
                </c:pt>
                <c:pt idx="36">
                  <c:v>28.391231999999999</c:v>
                </c:pt>
                <c:pt idx="37">
                  <c:v>27.714561877145339</c:v>
                </c:pt>
                <c:pt idx="38">
                  <c:v>21.906717243100903</c:v>
                </c:pt>
                <c:pt idx="39">
                  <c:v>22.324842479284005</c:v>
                </c:pt>
                <c:pt idx="40">
                  <c:v>19</c:v>
                </c:pt>
              </c:numCache>
            </c:numRef>
          </c:val>
          <c:smooth val="0"/>
          <c:extLst>
            <c:ext xmlns:c16="http://schemas.microsoft.com/office/drawing/2014/chart" uri="{C3380CC4-5D6E-409C-BE32-E72D297353CC}">
              <c16:uniqueId val="{00000000-4B43-4724-9202-18B2CE10C3F0}"/>
            </c:ext>
          </c:extLst>
        </c:ser>
        <c:ser>
          <c:idx val="1"/>
          <c:order val="1"/>
          <c:tx>
            <c:strRef>
              <c:f>ASM_Annual_Fuel3_1970on!$F$129</c:f>
              <c:strCache>
                <c:ptCount val="1"/>
                <c:pt idx="0">
                  <c:v>339</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ASM_Annual_Fuel3_1970on!$G$127:$AU$127</c:f>
              <c:numCache>
                <c:formatCode>General</c:formatCode>
                <c:ptCount val="4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numCache>
            </c:numRef>
          </c:cat>
          <c:val>
            <c:numRef>
              <c:f>ASM_Annual_Fuel3_1970on!$G$129:$AU$129</c:f>
              <c:numCache>
                <c:formatCode>0.00</c:formatCode>
                <c:ptCount val="41"/>
                <c:pt idx="0">
                  <c:v>47.729569076801901</c:v>
                </c:pt>
                <c:pt idx="1">
                  <c:v>50.258813679382584</c:v>
                </c:pt>
                <c:pt idx="2">
                  <c:v>57.277436919861096</c:v>
                </c:pt>
                <c:pt idx="3">
                  <c:v>48.931296111538408</c:v>
                </c:pt>
                <c:pt idx="4">
                  <c:v>43.214543825357822</c:v>
                </c:pt>
                <c:pt idx="5">
                  <c:v>39.129404667640735</c:v>
                </c:pt>
                <c:pt idx="6">
                  <c:v>38.759360672188258</c:v>
                </c:pt>
                <c:pt idx="7">
                  <c:v>43.487571811087662</c:v>
                </c:pt>
                <c:pt idx="8">
                  <c:v>45.474670329507163</c:v>
                </c:pt>
                <c:pt idx="9">
                  <c:v>44.174157180206429</c:v>
                </c:pt>
                <c:pt idx="10">
                  <c:v>42.106648223701853</c:v>
                </c:pt>
                <c:pt idx="11">
                  <c:v>39.419355998762526</c:v>
                </c:pt>
                <c:pt idx="12">
                  <c:v>35.311188624615482</c:v>
                </c:pt>
                <c:pt idx="13">
                  <c:v>37.91854792698863</c:v>
                </c:pt>
                <c:pt idx="14">
                  <c:v>38.181347066222365</c:v>
                </c:pt>
                <c:pt idx="15">
                  <c:v>33.863505680901589</c:v>
                </c:pt>
                <c:pt idx="16">
                  <c:v>39.628355216449528</c:v>
                </c:pt>
                <c:pt idx="17">
                  <c:v>43.311356676392833</c:v>
                </c:pt>
                <c:pt idx="18">
                  <c:v>45.434393503358493</c:v>
                </c:pt>
                <c:pt idx="19">
                  <c:v>41.18066817037402</c:v>
                </c:pt>
                <c:pt idx="20">
                  <c:v>38.691516089207084</c:v>
                </c:pt>
                <c:pt idx="21">
                  <c:v>34.793804965135031</c:v>
                </c:pt>
                <c:pt idx="22">
                  <c:v>38.845725201786685</c:v>
                </c:pt>
                <c:pt idx="23">
                  <c:v>43.649220105879621</c:v>
                </c:pt>
                <c:pt idx="24">
                  <c:v>48.376910834473634</c:v>
                </c:pt>
                <c:pt idx="25">
                  <c:v>54.003433472495793</c:v>
                </c:pt>
                <c:pt idx="26">
                  <c:v>44.191956365805062</c:v>
                </c:pt>
                <c:pt idx="27">
                  <c:v>42.319065802984603</c:v>
                </c:pt>
                <c:pt idx="28">
                  <c:v>47.700868</c:v>
                </c:pt>
                <c:pt idx="29">
                  <c:v>46.745155175063296</c:v>
                </c:pt>
                <c:pt idx="30">
                  <c:v>38.101014045070116</c:v>
                </c:pt>
                <c:pt idx="31">
                  <c:v>33.200659911387405</c:v>
                </c:pt>
                <c:pt idx="32">
                  <c:v>35.603912000000001</c:v>
                </c:pt>
                <c:pt idx="33">
                  <c:v>30.337702942254708</c:v>
                </c:pt>
                <c:pt idx="34">
                  <c:v>28.689353232890731</c:v>
                </c:pt>
                <c:pt idx="35">
                  <c:v>27.696006039892389</c:v>
                </c:pt>
                <c:pt idx="36">
                  <c:v>32.982075999999999</c:v>
                </c:pt>
                <c:pt idx="37">
                  <c:v>31.838460359608138</c:v>
                </c:pt>
                <c:pt idx="38">
                  <c:v>20.608192835341118</c:v>
                </c:pt>
                <c:pt idx="39">
                  <c:v>22.524890856185063</c:v>
                </c:pt>
                <c:pt idx="40">
                  <c:v>17</c:v>
                </c:pt>
              </c:numCache>
            </c:numRef>
          </c:val>
          <c:smooth val="0"/>
          <c:extLst>
            <c:ext xmlns:c16="http://schemas.microsoft.com/office/drawing/2014/chart" uri="{C3380CC4-5D6E-409C-BE32-E72D297353CC}">
              <c16:uniqueId val="{00000001-4B43-4724-9202-18B2CE10C3F0}"/>
            </c:ext>
          </c:extLst>
        </c:ser>
        <c:dLbls>
          <c:showLegendKey val="0"/>
          <c:showVal val="0"/>
          <c:showCatName val="0"/>
          <c:showSerName val="0"/>
          <c:showPercent val="0"/>
          <c:showBubbleSize val="0"/>
        </c:dLbls>
        <c:marker val="1"/>
        <c:smooth val="0"/>
        <c:axId val="131200512"/>
        <c:axId val="131394944"/>
      </c:lineChart>
      <c:catAx>
        <c:axId val="131200512"/>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31394944"/>
        <c:crosses val="autoZero"/>
        <c:auto val="1"/>
        <c:lblAlgn val="ctr"/>
        <c:lblOffset val="100"/>
        <c:tickLblSkip val="3"/>
        <c:tickMarkSkip val="1"/>
        <c:noMultiLvlLbl val="0"/>
      </c:catAx>
      <c:valAx>
        <c:axId val="131394944"/>
        <c:scaling>
          <c:orientation val="minMax"/>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1200512"/>
        <c:crosses val="autoZero"/>
        <c:crossBetween val="between"/>
      </c:valAx>
      <c:spPr>
        <a:solidFill>
          <a:srgbClr val="C0C0C0"/>
        </a:solidFill>
        <a:ln w="12700">
          <a:solidFill>
            <a:srgbClr val="808080"/>
          </a:solidFill>
          <a:prstDash val="solid"/>
        </a:ln>
      </c:spPr>
    </c:plotArea>
    <c:legend>
      <c:legendPos val="r"/>
      <c:layout>
        <c:manualLayout>
          <c:xMode val="edge"/>
          <c:yMode val="edge"/>
          <c:x val="0.86008403270578826"/>
          <c:y val="0.35471777348586142"/>
          <c:w val="0.10012362204724409"/>
          <c:h val="0.16226454712028915"/>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9601592904335239E-2"/>
          <c:y val="3.6596681480758592E-2"/>
          <c:w val="0.81966411439949316"/>
          <c:h val="0.84534176273591877"/>
        </c:manualLayout>
      </c:layout>
      <c:lineChart>
        <c:grouping val="standard"/>
        <c:varyColors val="0"/>
        <c:ser>
          <c:idx val="0"/>
          <c:order val="0"/>
          <c:tx>
            <c:strRef>
              <c:f>ASM_Annual_Fuel3_1970on!$CK$9</c:f>
              <c:strCache>
                <c:ptCount val="1"/>
                <c:pt idx="0">
                  <c:v>Indicators-Man</c:v>
                </c:pt>
              </c:strCache>
            </c:strRef>
          </c:tx>
          <c:cat>
            <c:numRef>
              <c:f>ASM_Annual_Fuel3_1970on!$CJ$10:$CJ$54</c:f>
              <c:numCache>
                <c:formatCode>General</c:formatCod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numCache>
            </c:numRef>
          </c:cat>
          <c:val>
            <c:numRef>
              <c:f>ASM_Annual_Fuel3_1970on!$CK$10:$CK$54</c:f>
              <c:numCache>
                <c:formatCode>0.0</c:formatCode>
                <c:ptCount val="45"/>
                <c:pt idx="0">
                  <c:v>14792.759729326021</c:v>
                </c:pt>
                <c:pt idx="1">
                  <c:v>14810.100175300053</c:v>
                </c:pt>
                <c:pt idx="2">
                  <c:v>15351.903599652562</c:v>
                </c:pt>
                <c:pt idx="3">
                  <c:v>15663.807332748498</c:v>
                </c:pt>
                <c:pt idx="4">
                  <c:v>15620.187082983271</c:v>
                </c:pt>
                <c:pt idx="5">
                  <c:v>14113.762301409039</c:v>
                </c:pt>
                <c:pt idx="6">
                  <c:v>14717.494267404461</c:v>
                </c:pt>
                <c:pt idx="7">
                  <c:v>14832.870126158838</c:v>
                </c:pt>
                <c:pt idx="8">
                  <c:v>15018.13289459276</c:v>
                </c:pt>
                <c:pt idx="9">
                  <c:v>14917.600797949723</c:v>
                </c:pt>
                <c:pt idx="10">
                  <c:v>13654.375125682722</c:v>
                </c:pt>
                <c:pt idx="11">
                  <c:v>12980.238353281609</c:v>
                </c:pt>
                <c:pt idx="12">
                  <c:v>11452.909250009327</c:v>
                </c:pt>
                <c:pt idx="13">
                  <c:v>12109.867697857704</c:v>
                </c:pt>
                <c:pt idx="14">
                  <c:v>12300.61720183061</c:v>
                </c:pt>
                <c:pt idx="15">
                  <c:v>11405.381661116657</c:v>
                </c:pt>
                <c:pt idx="16">
                  <c:v>11805.180783452881</c:v>
                </c:pt>
                <c:pt idx="17">
                  <c:v>12072.928350736656</c:v>
                </c:pt>
                <c:pt idx="18">
                  <c:v>13042.115484022981</c:v>
                </c:pt>
                <c:pt idx="19">
                  <c:v>13104.265331447779</c:v>
                </c:pt>
                <c:pt idx="20">
                  <c:v>13103.425439913102</c:v>
                </c:pt>
                <c:pt idx="21">
                  <c:v>12599.548369464048</c:v>
                </c:pt>
                <c:pt idx="22">
                  <c:v>12996.418569503452</c:v>
                </c:pt>
                <c:pt idx="23">
                  <c:v>13376.494235228505</c:v>
                </c:pt>
                <c:pt idx="24">
                  <c:v>13805.955934019132</c:v>
                </c:pt>
                <c:pt idx="25">
                  <c:v>14211.777729152858</c:v>
                </c:pt>
                <c:pt idx="26">
                  <c:v>14258.316948536629</c:v>
                </c:pt>
                <c:pt idx="27">
                  <c:v>14245.009418160424</c:v>
                </c:pt>
                <c:pt idx="28">
                  <c:v>14659.114711999997</c:v>
                </c:pt>
                <c:pt idx="29">
                  <c:v>14920.161681155838</c:v>
                </c:pt>
                <c:pt idx="30">
                  <c:v>14785.024832475434</c:v>
                </c:pt>
                <c:pt idx="31">
                  <c:v>14295.866372999417</c:v>
                </c:pt>
                <c:pt idx="32">
                  <c:v>13433.641368000002</c:v>
                </c:pt>
                <c:pt idx="33">
                  <c:v>13113.137221225885</c:v>
                </c:pt>
                <c:pt idx="34">
                  <c:v>12950.8719434869</c:v>
                </c:pt>
                <c:pt idx="35">
                  <c:v>12740.8006945982</c:v>
                </c:pt>
                <c:pt idx="36">
                  <c:v>12805.585636000002</c:v>
                </c:pt>
                <c:pt idx="37">
                  <c:v>12902.103729277938</c:v>
                </c:pt>
                <c:pt idx="38">
                  <c:v>12229.231348957175</c:v>
                </c:pt>
                <c:pt idx="39">
                  <c:v>11278.299924045068</c:v>
                </c:pt>
                <c:pt idx="40">
                  <c:v>11795</c:v>
                </c:pt>
                <c:pt idx="41">
                  <c:v>11661.920733035413</c:v>
                </c:pt>
                <c:pt idx="42">
                  <c:v>11017.078970851395</c:v>
                </c:pt>
                <c:pt idx="43">
                  <c:v>11929.722103697588</c:v>
                </c:pt>
                <c:pt idx="44">
                  <c:v>12301</c:v>
                </c:pt>
              </c:numCache>
            </c:numRef>
          </c:val>
          <c:smooth val="0"/>
          <c:extLst>
            <c:ext xmlns:c16="http://schemas.microsoft.com/office/drawing/2014/chart" uri="{C3380CC4-5D6E-409C-BE32-E72D297353CC}">
              <c16:uniqueId val="{00000000-4353-4BEE-A197-486A934EF778}"/>
            </c:ext>
          </c:extLst>
        </c:ser>
        <c:ser>
          <c:idx val="1"/>
          <c:order val="1"/>
          <c:tx>
            <c:strRef>
              <c:f>ASM_Annual_Fuel3_1970on!$CL$9</c:f>
              <c:strCache>
                <c:ptCount val="1"/>
                <c:pt idx="0">
                  <c:v>  AER</c:v>
                </c:pt>
              </c:strCache>
            </c:strRef>
          </c:tx>
          <c:cat>
            <c:numRef>
              <c:f>ASM_Annual_Fuel3_1970on!$CJ$10:$CJ$54</c:f>
              <c:numCache>
                <c:formatCode>General</c:formatCode>
                <c:ptCount val="45"/>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numCache>
            </c:numRef>
          </c:cat>
          <c:val>
            <c:numRef>
              <c:f>ASM_Annual_Fuel3_1970on!$CL$10:$CL$54</c:f>
              <c:numCache>
                <c:formatCode>#,##0</c:formatCode>
                <c:ptCount val="45"/>
                <c:pt idx="0">
                  <c:v>22963.9</c:v>
                </c:pt>
                <c:pt idx="1">
                  <c:v>22719.815999999999</c:v>
                </c:pt>
                <c:pt idx="2">
                  <c:v>23516.505000000001</c:v>
                </c:pt>
                <c:pt idx="3">
                  <c:v>24720.398000000001</c:v>
                </c:pt>
                <c:pt idx="4">
                  <c:v>23795.852999999999</c:v>
                </c:pt>
                <c:pt idx="5">
                  <c:v>21434.365000000002</c:v>
                </c:pt>
                <c:pt idx="6">
                  <c:v>22665.169000000002</c:v>
                </c:pt>
                <c:pt idx="7">
                  <c:v>23165.296000000002</c:v>
                </c:pt>
                <c:pt idx="8">
                  <c:v>23244.019</c:v>
                </c:pt>
                <c:pt idx="9">
                  <c:v>24191.813000000002</c:v>
                </c:pt>
                <c:pt idx="10">
                  <c:v>22594.841</c:v>
                </c:pt>
                <c:pt idx="11">
                  <c:v>21318.164000000001</c:v>
                </c:pt>
                <c:pt idx="12">
                  <c:v>19052.82</c:v>
                </c:pt>
                <c:pt idx="13">
                  <c:v>18547.911</c:v>
                </c:pt>
                <c:pt idx="14">
                  <c:v>20173.63</c:v>
                </c:pt>
                <c:pt idx="15">
                  <c:v>19442.850999999999</c:v>
                </c:pt>
                <c:pt idx="16">
                  <c:v>19077.962</c:v>
                </c:pt>
                <c:pt idx="17">
                  <c:v>19953.132000000001</c:v>
                </c:pt>
                <c:pt idx="18">
                  <c:v>20861.792000000001</c:v>
                </c:pt>
                <c:pt idx="19">
                  <c:v>20873.883000000002</c:v>
                </c:pt>
                <c:pt idx="20">
                  <c:v>21180.042000000001</c:v>
                </c:pt>
                <c:pt idx="21">
                  <c:v>20824.444</c:v>
                </c:pt>
                <c:pt idx="22">
                  <c:v>21756.319</c:v>
                </c:pt>
                <c:pt idx="23">
                  <c:v>21753.047999999999</c:v>
                </c:pt>
                <c:pt idx="24">
                  <c:v>22392.668000000001</c:v>
                </c:pt>
                <c:pt idx="25">
                  <c:v>22719.118000000002</c:v>
                </c:pt>
                <c:pt idx="26">
                  <c:v>23409.844000000001</c:v>
                </c:pt>
                <c:pt idx="27">
                  <c:v>23686.184000000001</c:v>
                </c:pt>
                <c:pt idx="28">
                  <c:v>23176.762999999999</c:v>
                </c:pt>
                <c:pt idx="29">
                  <c:v>22950.138999999999</c:v>
                </c:pt>
                <c:pt idx="30">
                  <c:v>22824.273000000001</c:v>
                </c:pt>
                <c:pt idx="31">
                  <c:v>21793.850000000002</c:v>
                </c:pt>
                <c:pt idx="32">
                  <c:v>21799.047999999999</c:v>
                </c:pt>
                <c:pt idx="33">
                  <c:v>21534</c:v>
                </c:pt>
                <c:pt idx="34">
                  <c:v>22412.057000000001</c:v>
                </c:pt>
                <c:pt idx="35">
                  <c:v>21410</c:v>
                </c:pt>
                <c:pt idx="36">
                  <c:v>21529</c:v>
                </c:pt>
                <c:pt idx="37">
                  <c:v>21363</c:v>
                </c:pt>
                <c:pt idx="38">
                  <c:v>20528</c:v>
                </c:pt>
                <c:pt idx="39">
                  <c:v>18756</c:v>
                </c:pt>
                <c:pt idx="40">
                  <c:v>20277</c:v>
                </c:pt>
                <c:pt idx="41">
                  <c:v>20455</c:v>
                </c:pt>
                <c:pt idx="42">
                  <c:v>20740</c:v>
                </c:pt>
                <c:pt idx="43">
                  <c:v>21261</c:v>
                </c:pt>
                <c:pt idx="44">
                  <c:v>21365</c:v>
                </c:pt>
              </c:numCache>
            </c:numRef>
          </c:val>
          <c:smooth val="0"/>
          <c:extLst>
            <c:ext xmlns:c16="http://schemas.microsoft.com/office/drawing/2014/chart" uri="{C3380CC4-5D6E-409C-BE32-E72D297353CC}">
              <c16:uniqueId val="{00000001-4353-4BEE-A197-486A934EF778}"/>
            </c:ext>
          </c:extLst>
        </c:ser>
        <c:dLbls>
          <c:showLegendKey val="0"/>
          <c:showVal val="0"/>
          <c:showCatName val="0"/>
          <c:showSerName val="0"/>
          <c:showPercent val="0"/>
          <c:showBubbleSize val="0"/>
        </c:dLbls>
        <c:marker val="1"/>
        <c:smooth val="0"/>
        <c:axId val="131067904"/>
        <c:axId val="131397248"/>
      </c:lineChart>
      <c:catAx>
        <c:axId val="131067904"/>
        <c:scaling>
          <c:orientation val="minMax"/>
        </c:scaling>
        <c:delete val="0"/>
        <c:axPos val="b"/>
        <c:numFmt formatCode="General" sourceLinked="1"/>
        <c:majorTickMark val="out"/>
        <c:minorTickMark val="none"/>
        <c:tickLblPos val="nextTo"/>
        <c:txPr>
          <a:bodyPr/>
          <a:lstStyle/>
          <a:p>
            <a:pPr>
              <a:defRPr sz="900" baseline="0"/>
            </a:pPr>
            <a:endParaRPr lang="en-US"/>
          </a:p>
        </c:txPr>
        <c:crossAx val="131397248"/>
        <c:crosses val="autoZero"/>
        <c:auto val="1"/>
        <c:lblAlgn val="ctr"/>
        <c:lblOffset val="5"/>
        <c:noMultiLvlLbl val="0"/>
      </c:catAx>
      <c:valAx>
        <c:axId val="131397248"/>
        <c:scaling>
          <c:orientation val="minMax"/>
        </c:scaling>
        <c:delete val="0"/>
        <c:axPos val="l"/>
        <c:majorGridlines/>
        <c:numFmt formatCode="0.0" sourceLinked="1"/>
        <c:majorTickMark val="out"/>
        <c:minorTickMark val="none"/>
        <c:tickLblPos val="nextTo"/>
        <c:crossAx val="131067904"/>
        <c:crosses val="autoZero"/>
        <c:crossBetween val="between"/>
      </c:valAx>
    </c:plotArea>
    <c:legend>
      <c:legendPos val="r"/>
      <c:layout>
        <c:manualLayout>
          <c:xMode val="edge"/>
          <c:yMode val="edge"/>
          <c:x val="0.13927312878993575"/>
          <c:y val="0.65794657116019961"/>
          <c:w val="0.16923261833650105"/>
          <c:h val="0.11921160965235462"/>
        </c:manualLayout>
      </c:layout>
      <c:overlay val="0"/>
      <c:spPr>
        <a:ln>
          <a:solidFill>
            <a:srgbClr val="000000"/>
          </a:solidFill>
        </a:ln>
      </c:spPr>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708505524967252E-2"/>
          <c:w val="0.72492023936880468"/>
          <c:h val="0.81510623958902895"/>
        </c:manualLayout>
      </c:layout>
      <c:lineChart>
        <c:grouping val="standard"/>
        <c:varyColors val="0"/>
        <c:ser>
          <c:idx val="0"/>
          <c:order val="0"/>
          <c:tx>
            <c:strRef>
              <c:f>'ASM_Fuel_Cost_1985-88'!$D$191</c:f>
              <c:strCache>
                <c:ptCount val="1"/>
                <c:pt idx="0">
                  <c:v>311-312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'ASM_Fuel_Cost_1985-88'!$E$190:$K$190</c:f>
              <c:numCache>
                <c:formatCode>General</c:formatCode>
                <c:ptCount val="7"/>
                <c:pt idx="0">
                  <c:v>1985</c:v>
                </c:pt>
                <c:pt idx="1">
                  <c:v>1986</c:v>
                </c:pt>
                <c:pt idx="2">
                  <c:v>1987</c:v>
                </c:pt>
                <c:pt idx="3">
                  <c:v>1988</c:v>
                </c:pt>
                <c:pt idx="4">
                  <c:v>1998</c:v>
                </c:pt>
                <c:pt idx="5">
                  <c:v>2002</c:v>
                </c:pt>
                <c:pt idx="6">
                  <c:v>2006</c:v>
                </c:pt>
              </c:numCache>
            </c:numRef>
          </c:cat>
          <c:val>
            <c:numRef>
              <c:f>'ASM_Fuel_Cost_1985-88'!$E$191:$K$191</c:f>
              <c:numCache>
                <c:formatCode>0.0</c:formatCode>
                <c:ptCount val="7"/>
                <c:pt idx="0">
                  <c:v>2815.9714287830675</c:v>
                </c:pt>
                <c:pt idx="1">
                  <c:v>2428.9288258561974</c:v>
                </c:pt>
                <c:pt idx="2">
                  <c:v>2156.7108744996754</c:v>
                </c:pt>
                <c:pt idx="3">
                  <c:v>2156.6102393975102</c:v>
                </c:pt>
                <c:pt idx="4" formatCode="#,##0.0">
                  <c:v>914.596452</c:v>
                </c:pt>
                <c:pt idx="5" formatCode="#,##0.0">
                  <c:v>963.55408</c:v>
                </c:pt>
                <c:pt idx="6" formatCode="#,##0.0">
                  <c:v>1014.1992240000001</c:v>
                </c:pt>
              </c:numCache>
            </c:numRef>
          </c:val>
          <c:smooth val="0"/>
          <c:extLst>
            <c:ext xmlns:c16="http://schemas.microsoft.com/office/drawing/2014/chart" uri="{C3380CC4-5D6E-409C-BE32-E72D297353CC}">
              <c16:uniqueId val="{00000000-3167-4E40-97F7-1A0032845812}"/>
            </c:ext>
          </c:extLst>
        </c:ser>
        <c:ser>
          <c:idx val="1"/>
          <c:order val="1"/>
          <c:tx>
            <c:strRef>
              <c:f>'ASM_Fuel_Cost_1985-88'!$D$192</c:f>
              <c:strCache>
                <c:ptCount val="1"/>
                <c:pt idx="0">
                  <c:v>313-314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'ASM_Fuel_Cost_1985-88'!$E$190:$K$190</c:f>
              <c:numCache>
                <c:formatCode>General</c:formatCode>
                <c:ptCount val="7"/>
                <c:pt idx="0">
                  <c:v>1985</c:v>
                </c:pt>
                <c:pt idx="1">
                  <c:v>1986</c:v>
                </c:pt>
                <c:pt idx="2">
                  <c:v>1987</c:v>
                </c:pt>
                <c:pt idx="3">
                  <c:v>1988</c:v>
                </c:pt>
                <c:pt idx="4">
                  <c:v>1998</c:v>
                </c:pt>
                <c:pt idx="5">
                  <c:v>2002</c:v>
                </c:pt>
                <c:pt idx="6">
                  <c:v>2006</c:v>
                </c:pt>
              </c:numCache>
            </c:numRef>
          </c:cat>
          <c:val>
            <c:numRef>
              <c:f>'ASM_Fuel_Cost_1985-88'!$E$192:$K$192</c:f>
              <c:numCache>
                <c:formatCode>0.0</c:formatCode>
                <c:ptCount val="7"/>
                <c:pt idx="0">
                  <c:v>689.94182486657019</c:v>
                </c:pt>
                <c:pt idx="1">
                  <c:v>594.20827022001254</c:v>
                </c:pt>
                <c:pt idx="2">
                  <c:v>589.54781319867914</c:v>
                </c:pt>
                <c:pt idx="3">
                  <c:v>565.85715667356749</c:v>
                </c:pt>
                <c:pt idx="4" formatCode="#,##0.0">
                  <c:v>183.883668</c:v>
                </c:pt>
                <c:pt idx="5" formatCode="#,##0.0">
                  <c:v>118.77534799999999</c:v>
                </c:pt>
                <c:pt idx="6" formatCode="#,##0.0">
                  <c:v>112.407712</c:v>
                </c:pt>
              </c:numCache>
            </c:numRef>
          </c:val>
          <c:smooth val="0"/>
          <c:extLst>
            <c:ext xmlns:c16="http://schemas.microsoft.com/office/drawing/2014/chart" uri="{C3380CC4-5D6E-409C-BE32-E72D297353CC}">
              <c16:uniqueId val="{00000001-3167-4E40-97F7-1A0032845812}"/>
            </c:ext>
          </c:extLst>
        </c:ser>
        <c:ser>
          <c:idx val="2"/>
          <c:order val="2"/>
          <c:tx>
            <c:strRef>
              <c:f>'ASM_Fuel_Cost_1985-88'!$D$193</c:f>
              <c:strCache>
                <c:ptCount val="1"/>
                <c:pt idx="0">
                  <c:v>315-316</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'ASM_Fuel_Cost_1985-88'!$E$190:$K$190</c:f>
              <c:numCache>
                <c:formatCode>General</c:formatCode>
                <c:ptCount val="7"/>
                <c:pt idx="0">
                  <c:v>1985</c:v>
                </c:pt>
                <c:pt idx="1">
                  <c:v>1986</c:v>
                </c:pt>
                <c:pt idx="2">
                  <c:v>1987</c:v>
                </c:pt>
                <c:pt idx="3">
                  <c:v>1988</c:v>
                </c:pt>
                <c:pt idx="4">
                  <c:v>1998</c:v>
                </c:pt>
                <c:pt idx="5">
                  <c:v>2002</c:v>
                </c:pt>
                <c:pt idx="6">
                  <c:v>2006</c:v>
                </c:pt>
              </c:numCache>
            </c:numRef>
          </c:cat>
          <c:val>
            <c:numRef>
              <c:f>'ASM_Fuel_Cost_1985-88'!$E$193:$K$193</c:f>
              <c:numCache>
                <c:formatCode>0.0</c:formatCode>
                <c:ptCount val="7"/>
                <c:pt idx="0">
                  <c:v>203.78944884475555</c:v>
                </c:pt>
                <c:pt idx="1">
                  <c:v>201.39959390094714</c:v>
                </c:pt>
                <c:pt idx="2">
                  <c:v>185.6482772258461</c:v>
                </c:pt>
                <c:pt idx="3">
                  <c:v>188.36402148017382</c:v>
                </c:pt>
                <c:pt idx="4" formatCode="#,##0.0">
                  <c:v>35.487055999999995</c:v>
                </c:pt>
                <c:pt idx="5" formatCode="#,##0.0">
                  <c:v>22.314752000000002</c:v>
                </c:pt>
                <c:pt idx="6" formatCode="#,##0.0">
                  <c:v>8.7224880000000002</c:v>
                </c:pt>
              </c:numCache>
            </c:numRef>
          </c:val>
          <c:smooth val="0"/>
          <c:extLst>
            <c:ext xmlns:c16="http://schemas.microsoft.com/office/drawing/2014/chart" uri="{C3380CC4-5D6E-409C-BE32-E72D297353CC}">
              <c16:uniqueId val="{00000002-3167-4E40-97F7-1A0032845812}"/>
            </c:ext>
          </c:extLst>
        </c:ser>
        <c:ser>
          <c:idx val="3"/>
          <c:order val="3"/>
          <c:tx>
            <c:strRef>
              <c:f>'ASM_Fuel_Cost_1985-88'!$D$194</c:f>
              <c:strCache>
                <c:ptCount val="1"/>
                <c:pt idx="0">
                  <c:v>321</c:v>
                </c:pt>
              </c:strCache>
            </c:strRef>
          </c:tx>
          <c:spPr>
            <a:ln w="12700">
              <a:solidFill>
                <a:srgbClr val="00FFFF"/>
              </a:solidFill>
              <a:prstDash val="solid"/>
            </a:ln>
          </c:spPr>
          <c:marker>
            <c:symbol val="x"/>
            <c:size val="5"/>
            <c:spPr>
              <a:noFill/>
              <a:ln>
                <a:solidFill>
                  <a:srgbClr val="00FFFF"/>
                </a:solidFill>
                <a:prstDash val="solid"/>
              </a:ln>
            </c:spPr>
          </c:marker>
          <c:cat>
            <c:numRef>
              <c:f>'ASM_Fuel_Cost_1985-88'!$E$190:$K$190</c:f>
              <c:numCache>
                <c:formatCode>General</c:formatCode>
                <c:ptCount val="7"/>
                <c:pt idx="0">
                  <c:v>1985</c:v>
                </c:pt>
                <c:pt idx="1">
                  <c:v>1986</c:v>
                </c:pt>
                <c:pt idx="2">
                  <c:v>1987</c:v>
                </c:pt>
                <c:pt idx="3">
                  <c:v>1988</c:v>
                </c:pt>
                <c:pt idx="4">
                  <c:v>1998</c:v>
                </c:pt>
                <c:pt idx="5">
                  <c:v>2002</c:v>
                </c:pt>
                <c:pt idx="6">
                  <c:v>2006</c:v>
                </c:pt>
              </c:numCache>
            </c:numRef>
          </c:cat>
          <c:val>
            <c:numRef>
              <c:f>'ASM_Fuel_Cost_1985-88'!$E$194:$K$194</c:f>
              <c:numCache>
                <c:formatCode>0.0</c:formatCode>
                <c:ptCount val="7"/>
                <c:pt idx="0">
                  <c:v>401.80245156768564</c:v>
                </c:pt>
                <c:pt idx="1">
                  <c:v>374.31985964227681</c:v>
                </c:pt>
                <c:pt idx="2">
                  <c:v>382.84294194825804</c:v>
                </c:pt>
                <c:pt idx="3">
                  <c:v>430.41565645205111</c:v>
                </c:pt>
                <c:pt idx="4" formatCode="#,##0.0">
                  <c:v>431.76796000000002</c:v>
                </c:pt>
                <c:pt idx="5" formatCode="#,##0.0">
                  <c:v>303.39918</c:v>
                </c:pt>
                <c:pt idx="6" formatCode="#,##0.0">
                  <c:v>353.821124</c:v>
                </c:pt>
              </c:numCache>
            </c:numRef>
          </c:val>
          <c:smooth val="0"/>
          <c:extLst>
            <c:ext xmlns:c16="http://schemas.microsoft.com/office/drawing/2014/chart" uri="{C3380CC4-5D6E-409C-BE32-E72D297353CC}">
              <c16:uniqueId val="{00000003-3167-4E40-97F7-1A0032845812}"/>
            </c:ext>
          </c:extLst>
        </c:ser>
        <c:dLbls>
          <c:showLegendKey val="0"/>
          <c:showVal val="0"/>
          <c:showCatName val="0"/>
          <c:showSerName val="0"/>
          <c:showPercent val="0"/>
          <c:showBubbleSize val="0"/>
        </c:dLbls>
        <c:marker val="1"/>
        <c:smooth val="0"/>
        <c:axId val="131069952"/>
        <c:axId val="132972544"/>
      </c:lineChart>
      <c:catAx>
        <c:axId val="131069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972544"/>
        <c:crosses val="autoZero"/>
        <c:auto val="1"/>
        <c:lblAlgn val="ctr"/>
        <c:lblOffset val="100"/>
        <c:tickLblSkip val="1"/>
        <c:tickMarkSkip val="1"/>
        <c:noMultiLvlLbl val="0"/>
      </c:catAx>
      <c:valAx>
        <c:axId val="132972544"/>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1069952"/>
        <c:crosses val="autoZero"/>
        <c:crossBetween val="between"/>
      </c:valAx>
      <c:spPr>
        <a:solidFill>
          <a:srgbClr val="C0C0C0"/>
        </a:solidFill>
        <a:ln w="12700">
          <a:solidFill>
            <a:srgbClr val="808080"/>
          </a:solidFill>
          <a:prstDash val="solid"/>
        </a:ln>
      </c:spPr>
    </c:plotArea>
    <c:legend>
      <c:legendPos val="r"/>
      <c:layout>
        <c:manualLayout>
          <c:xMode val="edge"/>
          <c:yMode val="edge"/>
          <c:x val="0.84951592216021532"/>
          <c:y val="0.36458415354330709"/>
          <c:w val="0.13754062295611102"/>
          <c:h val="0.2213547134733158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885117493472591E-2"/>
          <c:w val="0.76537337772643876"/>
          <c:h val="0.81462140992167098"/>
        </c:manualLayout>
      </c:layout>
      <c:lineChart>
        <c:grouping val="standard"/>
        <c:varyColors val="0"/>
        <c:ser>
          <c:idx val="0"/>
          <c:order val="0"/>
          <c:tx>
            <c:strRef>
              <c:f>'ASM_Fuel_Cost_1985-88'!$D$216</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'ASM_Fuel_Cost_1985-88'!$E$215:$K$215</c:f>
              <c:numCache>
                <c:formatCode>General</c:formatCode>
                <c:ptCount val="7"/>
                <c:pt idx="0">
                  <c:v>1985</c:v>
                </c:pt>
                <c:pt idx="1">
                  <c:v>1986</c:v>
                </c:pt>
                <c:pt idx="2">
                  <c:v>1987</c:v>
                </c:pt>
                <c:pt idx="3">
                  <c:v>1988</c:v>
                </c:pt>
                <c:pt idx="4">
                  <c:v>1998</c:v>
                </c:pt>
                <c:pt idx="5">
                  <c:v>2002</c:v>
                </c:pt>
                <c:pt idx="6">
                  <c:v>2006</c:v>
                </c:pt>
              </c:numCache>
            </c:numRef>
          </c:cat>
          <c:val>
            <c:numRef>
              <c:f>'ASM_Fuel_Cost_1985-88'!$E$216:$K$216</c:f>
              <c:numCache>
                <c:formatCode>0.0</c:formatCode>
                <c:ptCount val="7"/>
                <c:pt idx="0">
                  <c:v>3379.5207023040175</c:v>
                </c:pt>
                <c:pt idx="1">
                  <c:v>2707.5499517661369</c:v>
                </c:pt>
                <c:pt idx="2">
                  <c:v>2570.2806333900285</c:v>
                </c:pt>
                <c:pt idx="3">
                  <c:v>2554.6069730372656</c:v>
                </c:pt>
              </c:numCache>
            </c:numRef>
          </c:val>
          <c:smooth val="0"/>
          <c:extLst>
            <c:ext xmlns:c16="http://schemas.microsoft.com/office/drawing/2014/chart" uri="{C3380CC4-5D6E-409C-BE32-E72D297353CC}">
              <c16:uniqueId val="{00000000-4384-4327-BD75-4402C27A39AF}"/>
            </c:ext>
          </c:extLst>
        </c:ser>
        <c:ser>
          <c:idx val="1"/>
          <c:order val="1"/>
          <c:tx>
            <c:strRef>
              <c:f>'ASM_Fuel_Cost_1985-88'!$D$217</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'ASM_Fuel_Cost_1985-88'!$E$215:$K$215</c:f>
              <c:numCache>
                <c:formatCode>General</c:formatCode>
                <c:ptCount val="7"/>
                <c:pt idx="0">
                  <c:v>1985</c:v>
                </c:pt>
                <c:pt idx="1">
                  <c:v>1986</c:v>
                </c:pt>
                <c:pt idx="2">
                  <c:v>1987</c:v>
                </c:pt>
                <c:pt idx="3">
                  <c:v>1988</c:v>
                </c:pt>
                <c:pt idx="4">
                  <c:v>1998</c:v>
                </c:pt>
                <c:pt idx="5">
                  <c:v>2002</c:v>
                </c:pt>
                <c:pt idx="6">
                  <c:v>2006</c:v>
                </c:pt>
              </c:numCache>
            </c:numRef>
          </c:cat>
          <c:val>
            <c:numRef>
              <c:f>'ASM_Fuel_Cost_1985-88'!$E$217:$K$217</c:f>
              <c:numCache>
                <c:formatCode>0.0</c:formatCode>
                <c:ptCount val="7"/>
                <c:pt idx="0">
                  <c:v>203.20549652414306</c:v>
                </c:pt>
                <c:pt idx="1">
                  <c:v>190.29348059917146</c:v>
                </c:pt>
                <c:pt idx="2">
                  <c:v>192.41020452129794</c:v>
                </c:pt>
                <c:pt idx="3">
                  <c:v>208.35619140131752</c:v>
                </c:pt>
              </c:numCache>
            </c:numRef>
          </c:val>
          <c:smooth val="0"/>
          <c:extLst>
            <c:ext xmlns:c16="http://schemas.microsoft.com/office/drawing/2014/chart" uri="{C3380CC4-5D6E-409C-BE32-E72D297353CC}">
              <c16:uniqueId val="{00000001-4384-4327-BD75-4402C27A39AF}"/>
            </c:ext>
          </c:extLst>
        </c:ser>
        <c:ser>
          <c:idx val="2"/>
          <c:order val="2"/>
          <c:tx>
            <c:strRef>
              <c:f>'ASM_Fuel_Cost_1985-88'!$D$218</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'ASM_Fuel_Cost_1985-88'!$E$215:$K$215</c:f>
              <c:numCache>
                <c:formatCode>General</c:formatCode>
                <c:ptCount val="7"/>
                <c:pt idx="0">
                  <c:v>1985</c:v>
                </c:pt>
                <c:pt idx="1">
                  <c:v>1986</c:v>
                </c:pt>
                <c:pt idx="2">
                  <c:v>1987</c:v>
                </c:pt>
                <c:pt idx="3">
                  <c:v>1988</c:v>
                </c:pt>
                <c:pt idx="4">
                  <c:v>1998</c:v>
                </c:pt>
                <c:pt idx="5">
                  <c:v>2002</c:v>
                </c:pt>
                <c:pt idx="6">
                  <c:v>2006</c:v>
                </c:pt>
              </c:numCache>
            </c:numRef>
          </c:cat>
          <c:val>
            <c:numRef>
              <c:f>'ASM_Fuel_Cost_1985-88'!$E$218:$K$218</c:f>
              <c:numCache>
                <c:formatCode>0.0</c:formatCode>
                <c:ptCount val="7"/>
                <c:pt idx="0">
                  <c:v>3547.1507976792809</c:v>
                </c:pt>
                <c:pt idx="1">
                  <c:v>2630.5883292760632</c:v>
                </c:pt>
                <c:pt idx="2">
                  <c:v>2005.2681389961647</c:v>
                </c:pt>
                <c:pt idx="3">
                  <c:v>2099.9469002005153</c:v>
                </c:pt>
              </c:numCache>
            </c:numRef>
          </c:val>
          <c:smooth val="0"/>
          <c:extLst>
            <c:ext xmlns:c16="http://schemas.microsoft.com/office/drawing/2014/chart" uri="{C3380CC4-5D6E-409C-BE32-E72D297353CC}">
              <c16:uniqueId val="{00000002-4384-4327-BD75-4402C27A39AF}"/>
            </c:ext>
          </c:extLst>
        </c:ser>
        <c:ser>
          <c:idx val="3"/>
          <c:order val="3"/>
          <c:tx>
            <c:strRef>
              <c:f>'ASM_Fuel_Cost_1985-88'!$D$219</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'ASM_Fuel_Cost_1985-88'!$E$215:$K$215</c:f>
              <c:numCache>
                <c:formatCode>General</c:formatCode>
                <c:ptCount val="7"/>
                <c:pt idx="0">
                  <c:v>1985</c:v>
                </c:pt>
                <c:pt idx="1">
                  <c:v>1986</c:v>
                </c:pt>
                <c:pt idx="2">
                  <c:v>1987</c:v>
                </c:pt>
                <c:pt idx="3">
                  <c:v>1988</c:v>
                </c:pt>
                <c:pt idx="4">
                  <c:v>1998</c:v>
                </c:pt>
                <c:pt idx="5">
                  <c:v>2002</c:v>
                </c:pt>
                <c:pt idx="6">
                  <c:v>2006</c:v>
                </c:pt>
              </c:numCache>
            </c:numRef>
          </c:cat>
          <c:val>
            <c:numRef>
              <c:f>'ASM_Fuel_Cost_1985-88'!$E$219:$K$219</c:f>
              <c:numCache>
                <c:formatCode>0.0</c:formatCode>
                <c:ptCount val="7"/>
                <c:pt idx="0">
                  <c:v>5393.3412160308235</c:v>
                </c:pt>
                <c:pt idx="1">
                  <c:v>3965.8641148265406</c:v>
                </c:pt>
                <c:pt idx="2">
                  <c:v>4099.6095384634755</c:v>
                </c:pt>
                <c:pt idx="3">
                  <c:v>4322.7829621897454</c:v>
                </c:pt>
              </c:numCache>
            </c:numRef>
          </c:val>
          <c:smooth val="0"/>
          <c:extLst>
            <c:ext xmlns:c16="http://schemas.microsoft.com/office/drawing/2014/chart" uri="{C3380CC4-5D6E-409C-BE32-E72D297353CC}">
              <c16:uniqueId val="{00000003-4384-4327-BD75-4402C27A39AF}"/>
            </c:ext>
          </c:extLst>
        </c:ser>
        <c:dLbls>
          <c:showLegendKey val="0"/>
          <c:showVal val="0"/>
          <c:showCatName val="0"/>
          <c:showSerName val="0"/>
          <c:showPercent val="0"/>
          <c:showBubbleSize val="0"/>
        </c:dLbls>
        <c:marker val="1"/>
        <c:smooth val="0"/>
        <c:axId val="122683392"/>
        <c:axId val="132976000"/>
      </c:lineChart>
      <c:catAx>
        <c:axId val="12268339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976000"/>
        <c:crosses val="autoZero"/>
        <c:auto val="1"/>
        <c:lblAlgn val="ctr"/>
        <c:lblOffset val="100"/>
        <c:tickLblSkip val="1"/>
        <c:tickMarkSkip val="1"/>
        <c:noMultiLvlLbl val="0"/>
      </c:catAx>
      <c:valAx>
        <c:axId val="132976000"/>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2683392"/>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6553524804177545"/>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885117493472591E-2"/>
          <c:w val="0.76537337772643876"/>
          <c:h val="0.81462140992167098"/>
        </c:manualLayout>
      </c:layout>
      <c:lineChart>
        <c:grouping val="standard"/>
        <c:varyColors val="0"/>
        <c:ser>
          <c:idx val="0"/>
          <c:order val="0"/>
          <c:tx>
            <c:strRef>
              <c:f>'ASM_Fuel_Cost_1985-88'!$D$241</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'ASM_Fuel_Cost_1985-88'!$E$240:$K$240</c:f>
              <c:numCache>
                <c:formatCode>General</c:formatCode>
                <c:ptCount val="7"/>
                <c:pt idx="0">
                  <c:v>1985</c:v>
                </c:pt>
                <c:pt idx="1">
                  <c:v>1986</c:v>
                </c:pt>
                <c:pt idx="2">
                  <c:v>1987</c:v>
                </c:pt>
                <c:pt idx="3">
                  <c:v>1988</c:v>
                </c:pt>
                <c:pt idx="4">
                  <c:v>1998</c:v>
                </c:pt>
                <c:pt idx="5">
                  <c:v>2002</c:v>
                </c:pt>
                <c:pt idx="6">
                  <c:v>2006</c:v>
                </c:pt>
              </c:numCache>
            </c:numRef>
          </c:cat>
          <c:val>
            <c:numRef>
              <c:f>'ASM_Fuel_Cost_1985-88'!$E$241:$K$241</c:f>
              <c:numCache>
                <c:formatCode>0.0</c:formatCode>
                <c:ptCount val="7"/>
                <c:pt idx="0">
                  <c:v>577.40684679445974</c:v>
                </c:pt>
                <c:pt idx="1">
                  <c:v>500.98535236578118</c:v>
                </c:pt>
                <c:pt idx="2">
                  <c:v>532.46520914941027</c:v>
                </c:pt>
                <c:pt idx="3">
                  <c:v>521.69578446027401</c:v>
                </c:pt>
              </c:numCache>
            </c:numRef>
          </c:val>
          <c:smooth val="0"/>
          <c:extLst>
            <c:ext xmlns:c16="http://schemas.microsoft.com/office/drawing/2014/chart" uri="{C3380CC4-5D6E-409C-BE32-E72D297353CC}">
              <c16:uniqueId val="{00000000-6432-4712-B692-5F2D58D8C7BD}"/>
            </c:ext>
          </c:extLst>
        </c:ser>
        <c:ser>
          <c:idx val="1"/>
          <c:order val="1"/>
          <c:tx>
            <c:strRef>
              <c:f>'ASM_Fuel_Cost_1985-88'!$D$242</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'ASM_Fuel_Cost_1985-88'!$E$240:$K$240</c:f>
              <c:numCache>
                <c:formatCode>General</c:formatCode>
                <c:ptCount val="7"/>
                <c:pt idx="0">
                  <c:v>1985</c:v>
                </c:pt>
                <c:pt idx="1">
                  <c:v>1986</c:v>
                </c:pt>
                <c:pt idx="2">
                  <c:v>1987</c:v>
                </c:pt>
                <c:pt idx="3">
                  <c:v>1988</c:v>
                </c:pt>
                <c:pt idx="4">
                  <c:v>1998</c:v>
                </c:pt>
                <c:pt idx="5">
                  <c:v>2002</c:v>
                </c:pt>
                <c:pt idx="6">
                  <c:v>2006</c:v>
                </c:pt>
              </c:numCache>
            </c:numRef>
          </c:cat>
          <c:val>
            <c:numRef>
              <c:f>'ASM_Fuel_Cost_1985-88'!$E$242:$K$242</c:f>
              <c:numCache>
                <c:formatCode>0.0</c:formatCode>
                <c:ptCount val="7"/>
                <c:pt idx="0">
                  <c:v>2657.2371263069717</c:v>
                </c:pt>
                <c:pt idx="1">
                  <c:v>2301.1589518966789</c:v>
                </c:pt>
                <c:pt idx="2">
                  <c:v>2070.8730671264161</c:v>
                </c:pt>
                <c:pt idx="3">
                  <c:v>2013.6765729498679</c:v>
                </c:pt>
              </c:numCache>
            </c:numRef>
          </c:val>
          <c:smooth val="0"/>
          <c:extLst>
            <c:ext xmlns:c16="http://schemas.microsoft.com/office/drawing/2014/chart" uri="{C3380CC4-5D6E-409C-BE32-E72D297353CC}">
              <c16:uniqueId val="{00000001-6432-4712-B692-5F2D58D8C7BD}"/>
            </c:ext>
          </c:extLst>
        </c:ser>
        <c:ser>
          <c:idx val="2"/>
          <c:order val="2"/>
          <c:tx>
            <c:strRef>
              <c:f>'ASM_Fuel_Cost_1985-88'!$D$243</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'ASM_Fuel_Cost_1985-88'!$E$240:$K$240</c:f>
              <c:numCache>
                <c:formatCode>General</c:formatCode>
                <c:ptCount val="7"/>
                <c:pt idx="0">
                  <c:v>1985</c:v>
                </c:pt>
                <c:pt idx="1">
                  <c:v>1986</c:v>
                </c:pt>
                <c:pt idx="2">
                  <c:v>1987</c:v>
                </c:pt>
                <c:pt idx="3">
                  <c:v>1988</c:v>
                </c:pt>
                <c:pt idx="4">
                  <c:v>1998</c:v>
                </c:pt>
                <c:pt idx="5">
                  <c:v>2002</c:v>
                </c:pt>
                <c:pt idx="6">
                  <c:v>2006</c:v>
                </c:pt>
              </c:numCache>
            </c:numRef>
          </c:cat>
          <c:val>
            <c:numRef>
              <c:f>'ASM_Fuel_Cost_1985-88'!$E$243:$K$243</c:f>
              <c:numCache>
                <c:formatCode>0.0</c:formatCode>
                <c:ptCount val="7"/>
                <c:pt idx="0">
                  <c:v>4339.9602459174175</c:v>
                </c:pt>
                <c:pt idx="1">
                  <c:v>3336.1303610854025</c:v>
                </c:pt>
                <c:pt idx="2">
                  <c:v>2887.3118056325779</c:v>
                </c:pt>
                <c:pt idx="3">
                  <c:v>3116.8741104477103</c:v>
                </c:pt>
              </c:numCache>
            </c:numRef>
          </c:val>
          <c:smooth val="0"/>
          <c:extLst>
            <c:ext xmlns:c16="http://schemas.microsoft.com/office/drawing/2014/chart" uri="{C3380CC4-5D6E-409C-BE32-E72D297353CC}">
              <c16:uniqueId val="{00000002-6432-4712-B692-5F2D58D8C7BD}"/>
            </c:ext>
          </c:extLst>
        </c:ser>
        <c:ser>
          <c:idx val="3"/>
          <c:order val="3"/>
          <c:tx>
            <c:strRef>
              <c:f>'ASM_Fuel_Cost_1985-88'!$D$244</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'ASM_Fuel_Cost_1985-88'!$E$240:$K$240</c:f>
              <c:numCache>
                <c:formatCode>General</c:formatCode>
                <c:ptCount val="7"/>
                <c:pt idx="0">
                  <c:v>1985</c:v>
                </c:pt>
                <c:pt idx="1">
                  <c:v>1986</c:v>
                </c:pt>
                <c:pt idx="2">
                  <c:v>1987</c:v>
                </c:pt>
                <c:pt idx="3">
                  <c:v>1988</c:v>
                </c:pt>
                <c:pt idx="4">
                  <c:v>1998</c:v>
                </c:pt>
                <c:pt idx="5">
                  <c:v>2002</c:v>
                </c:pt>
                <c:pt idx="6">
                  <c:v>2006</c:v>
                </c:pt>
              </c:numCache>
            </c:numRef>
          </c:cat>
          <c:val>
            <c:numRef>
              <c:f>'ASM_Fuel_Cost_1985-88'!$E$244:$K$244</c:f>
              <c:numCache>
                <c:formatCode>0.0</c:formatCode>
                <c:ptCount val="7"/>
                <c:pt idx="0">
                  <c:v>1124.3502443921664</c:v>
                </c:pt>
                <c:pt idx="1">
                  <c:v>995.82878054874004</c:v>
                </c:pt>
                <c:pt idx="2">
                  <c:v>957.40108597662811</c:v>
                </c:pt>
                <c:pt idx="3">
                  <c:v>993.52102639808663</c:v>
                </c:pt>
              </c:numCache>
            </c:numRef>
          </c:val>
          <c:smooth val="0"/>
          <c:extLst>
            <c:ext xmlns:c16="http://schemas.microsoft.com/office/drawing/2014/chart" uri="{C3380CC4-5D6E-409C-BE32-E72D297353CC}">
              <c16:uniqueId val="{00000003-6432-4712-B692-5F2D58D8C7BD}"/>
            </c:ext>
          </c:extLst>
        </c:ser>
        <c:dLbls>
          <c:showLegendKey val="0"/>
          <c:showVal val="0"/>
          <c:showCatName val="0"/>
          <c:showSerName val="0"/>
          <c:showPercent val="0"/>
          <c:showBubbleSize val="0"/>
        </c:dLbls>
        <c:marker val="1"/>
        <c:smooth val="0"/>
        <c:axId val="122684416"/>
        <c:axId val="132978304"/>
      </c:lineChart>
      <c:catAx>
        <c:axId val="1226844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978304"/>
        <c:crosses val="autoZero"/>
        <c:auto val="1"/>
        <c:lblAlgn val="ctr"/>
        <c:lblOffset val="100"/>
        <c:tickLblSkip val="1"/>
        <c:tickMarkSkip val="1"/>
        <c:noMultiLvlLbl val="0"/>
      </c:catAx>
      <c:valAx>
        <c:axId val="132978304"/>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2684416"/>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6553524804177545"/>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885117493472591E-2"/>
          <c:w val="0.76537337772643876"/>
          <c:h val="0.81462140992167098"/>
        </c:manualLayout>
      </c:layout>
      <c:lineChart>
        <c:grouping val="standard"/>
        <c:varyColors val="0"/>
        <c:ser>
          <c:idx val="0"/>
          <c:order val="0"/>
          <c:tx>
            <c:strRef>
              <c:f>'ASM_Fuel_Cost_1985-88'!$D$266</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'ASM_Fuel_Cost_1985-88'!$E$265:$K$265</c:f>
              <c:numCache>
                <c:formatCode>General</c:formatCode>
                <c:ptCount val="7"/>
                <c:pt idx="0">
                  <c:v>1985</c:v>
                </c:pt>
                <c:pt idx="1">
                  <c:v>1986</c:v>
                </c:pt>
                <c:pt idx="2">
                  <c:v>1987</c:v>
                </c:pt>
                <c:pt idx="3">
                  <c:v>1988</c:v>
                </c:pt>
                <c:pt idx="4">
                  <c:v>1998</c:v>
                </c:pt>
                <c:pt idx="5">
                  <c:v>2002</c:v>
                </c:pt>
                <c:pt idx="6">
                  <c:v>2006</c:v>
                </c:pt>
              </c:numCache>
            </c:numRef>
          </c:cat>
          <c:val>
            <c:numRef>
              <c:f>'ASM_Fuel_Cost_1985-88'!$E$266:$K$266</c:f>
              <c:numCache>
                <c:formatCode>0.0</c:formatCode>
                <c:ptCount val="7"/>
                <c:pt idx="0">
                  <c:v>613.5172965475607</c:v>
                </c:pt>
                <c:pt idx="1">
                  <c:v>538.09507256146662</c:v>
                </c:pt>
                <c:pt idx="2">
                  <c:v>477.49102736513851</c:v>
                </c:pt>
                <c:pt idx="3">
                  <c:v>476.87449476454827</c:v>
                </c:pt>
                <c:pt idx="4">
                  <c:v>116.85666400000001</c:v>
                </c:pt>
                <c:pt idx="5">
                  <c:v>91.191044000000005</c:v>
                </c:pt>
                <c:pt idx="6">
                  <c:v>93.471671999999998</c:v>
                </c:pt>
              </c:numCache>
            </c:numRef>
          </c:val>
          <c:smooth val="0"/>
          <c:extLst>
            <c:ext xmlns:c16="http://schemas.microsoft.com/office/drawing/2014/chart" uri="{C3380CC4-5D6E-409C-BE32-E72D297353CC}">
              <c16:uniqueId val="{00000000-2F43-47CA-9FCF-151C44FA24EA}"/>
            </c:ext>
          </c:extLst>
        </c:ser>
        <c:ser>
          <c:idx val="1"/>
          <c:order val="1"/>
          <c:tx>
            <c:strRef>
              <c:f>'ASM_Fuel_Cost_1985-88'!$D$267</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'ASM_Fuel_Cost_1985-88'!$E$265:$K$265</c:f>
              <c:numCache>
                <c:formatCode>General</c:formatCode>
                <c:ptCount val="7"/>
                <c:pt idx="0">
                  <c:v>1985</c:v>
                </c:pt>
                <c:pt idx="1">
                  <c:v>1986</c:v>
                </c:pt>
                <c:pt idx="2">
                  <c:v>1987</c:v>
                </c:pt>
                <c:pt idx="3">
                  <c:v>1988</c:v>
                </c:pt>
                <c:pt idx="4">
                  <c:v>1998</c:v>
                </c:pt>
                <c:pt idx="5">
                  <c:v>2002</c:v>
                </c:pt>
                <c:pt idx="6">
                  <c:v>2006</c:v>
                </c:pt>
              </c:numCache>
            </c:numRef>
          </c:cat>
          <c:val>
            <c:numRef>
              <c:f>'ASM_Fuel_Cost_1985-88'!$E$267:$K$267</c:f>
              <c:numCache>
                <c:formatCode>0.0</c:formatCode>
                <c:ptCount val="7"/>
                <c:pt idx="0">
                  <c:v>291.98100673447351</c:v>
                </c:pt>
                <c:pt idx="1">
                  <c:v>250.35862224355006</c:v>
                </c:pt>
                <c:pt idx="2">
                  <c:v>242.48488052117449</c:v>
                </c:pt>
                <c:pt idx="3">
                  <c:v>240.59903893410413</c:v>
                </c:pt>
                <c:pt idx="4">
                  <c:v>67.813715999999999</c:v>
                </c:pt>
                <c:pt idx="5">
                  <c:v>69.142976000000004</c:v>
                </c:pt>
                <c:pt idx="6">
                  <c:v>47.139291999999998</c:v>
                </c:pt>
              </c:numCache>
            </c:numRef>
          </c:val>
          <c:smooth val="0"/>
          <c:extLst>
            <c:ext xmlns:c16="http://schemas.microsoft.com/office/drawing/2014/chart" uri="{C3380CC4-5D6E-409C-BE32-E72D297353CC}">
              <c16:uniqueId val="{00000001-2F43-47CA-9FCF-151C44FA24EA}"/>
            </c:ext>
          </c:extLst>
        </c:ser>
        <c:ser>
          <c:idx val="2"/>
          <c:order val="2"/>
          <c:tx>
            <c:strRef>
              <c:f>'ASM_Fuel_Cost_1985-88'!$D$268</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'ASM_Fuel_Cost_1985-88'!$E$265:$K$265</c:f>
              <c:numCache>
                <c:formatCode>General</c:formatCode>
                <c:ptCount val="7"/>
                <c:pt idx="0">
                  <c:v>1985</c:v>
                </c:pt>
                <c:pt idx="1">
                  <c:v>1986</c:v>
                </c:pt>
                <c:pt idx="2">
                  <c:v>1987</c:v>
                </c:pt>
                <c:pt idx="3">
                  <c:v>1988</c:v>
                </c:pt>
                <c:pt idx="4">
                  <c:v>1998</c:v>
                </c:pt>
                <c:pt idx="5">
                  <c:v>2002</c:v>
                </c:pt>
                <c:pt idx="6">
                  <c:v>2006</c:v>
                </c:pt>
              </c:numCache>
            </c:numRef>
          </c:cat>
          <c:val>
            <c:numRef>
              <c:f>'ASM_Fuel_Cost_1985-88'!$E$268:$K$268</c:f>
              <c:numCache>
                <c:formatCode>0.0</c:formatCode>
                <c:ptCount val="7"/>
                <c:pt idx="0">
                  <c:v>366.8042797694564</c:v>
                </c:pt>
                <c:pt idx="1">
                  <c:v>313.25000485525999</c:v>
                </c:pt>
                <c:pt idx="2">
                  <c:v>259.54884321598377</c:v>
                </c:pt>
                <c:pt idx="3">
                  <c:v>235.64381002161588</c:v>
                </c:pt>
                <c:pt idx="4">
                  <c:v>60.671008</c:v>
                </c:pt>
                <c:pt idx="5">
                  <c:v>55.569788000000003</c:v>
                </c:pt>
                <c:pt idx="6">
                  <c:v>43.097796000000002</c:v>
                </c:pt>
              </c:numCache>
            </c:numRef>
          </c:val>
          <c:smooth val="0"/>
          <c:extLst>
            <c:ext xmlns:c16="http://schemas.microsoft.com/office/drawing/2014/chart" uri="{C3380CC4-5D6E-409C-BE32-E72D297353CC}">
              <c16:uniqueId val="{00000002-2F43-47CA-9FCF-151C44FA24EA}"/>
            </c:ext>
          </c:extLst>
        </c:ser>
        <c:ser>
          <c:idx val="3"/>
          <c:order val="3"/>
          <c:tx>
            <c:strRef>
              <c:f>'ASM_Fuel_Cost_1985-88'!$D$269</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'ASM_Fuel_Cost_1985-88'!$E$265:$K$265</c:f>
              <c:numCache>
                <c:formatCode>General</c:formatCode>
                <c:ptCount val="7"/>
                <c:pt idx="0">
                  <c:v>1985</c:v>
                </c:pt>
                <c:pt idx="1">
                  <c:v>1986</c:v>
                </c:pt>
                <c:pt idx="2">
                  <c:v>1987</c:v>
                </c:pt>
                <c:pt idx="3">
                  <c:v>1988</c:v>
                </c:pt>
                <c:pt idx="4">
                  <c:v>1998</c:v>
                </c:pt>
                <c:pt idx="5">
                  <c:v>2002</c:v>
                </c:pt>
                <c:pt idx="6">
                  <c:v>2006</c:v>
                </c:pt>
              </c:numCache>
            </c:numRef>
          </c:cat>
          <c:val>
            <c:numRef>
              <c:f>'ASM_Fuel_Cost_1985-88'!$E$269:$K$269</c:f>
              <c:numCache>
                <c:formatCode>0.0</c:formatCode>
                <c:ptCount val="7"/>
                <c:pt idx="0">
                  <c:v>1048.1176591429162</c:v>
                </c:pt>
                <c:pt idx="1">
                  <c:v>901.08117540303283</c:v>
                </c:pt>
                <c:pt idx="2">
                  <c:v>833.33238468453624</c:v>
                </c:pt>
                <c:pt idx="3">
                  <c:v>865.96679427310994</c:v>
                </c:pt>
                <c:pt idx="4">
                  <c:v>292.75512400000002</c:v>
                </c:pt>
                <c:pt idx="5">
                  <c:v>251.66670399999998</c:v>
                </c:pt>
                <c:pt idx="6">
                  <c:v>283.93937199999999</c:v>
                </c:pt>
              </c:numCache>
            </c:numRef>
          </c:val>
          <c:smooth val="0"/>
          <c:extLst>
            <c:ext xmlns:c16="http://schemas.microsoft.com/office/drawing/2014/chart" uri="{C3380CC4-5D6E-409C-BE32-E72D297353CC}">
              <c16:uniqueId val="{00000003-2F43-47CA-9FCF-151C44FA24EA}"/>
            </c:ext>
          </c:extLst>
        </c:ser>
        <c:dLbls>
          <c:showLegendKey val="0"/>
          <c:showVal val="0"/>
          <c:showCatName val="0"/>
          <c:showSerName val="0"/>
          <c:showPercent val="0"/>
          <c:showBubbleSize val="0"/>
        </c:dLbls>
        <c:marker val="1"/>
        <c:smooth val="0"/>
        <c:axId val="122684928"/>
        <c:axId val="133505024"/>
      </c:lineChart>
      <c:catAx>
        <c:axId val="1226849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505024"/>
        <c:crosses val="autoZero"/>
        <c:auto val="1"/>
        <c:lblAlgn val="ctr"/>
        <c:lblOffset val="100"/>
        <c:tickLblSkip val="1"/>
        <c:tickMarkSkip val="1"/>
        <c:noMultiLvlLbl val="0"/>
      </c:catAx>
      <c:valAx>
        <c:axId val="133505024"/>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2684928"/>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6553524804177545"/>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469406524016684E-2"/>
          <c:y val="6.7885117493472591E-2"/>
          <c:w val="0.77670025646657637"/>
          <c:h val="0.81462140992167098"/>
        </c:manualLayout>
      </c:layout>
      <c:lineChart>
        <c:grouping val="standard"/>
        <c:varyColors val="0"/>
        <c:ser>
          <c:idx val="0"/>
          <c:order val="0"/>
          <c:tx>
            <c:strRef>
              <c:f>'ASM_Fuel_Cost_1985-88'!$D$290</c:f>
              <c:strCache>
                <c:ptCount val="1"/>
                <c:pt idx="0">
                  <c:v>337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'ASM_Fuel_Cost_1985-88'!$E$289:$K$289</c:f>
              <c:numCache>
                <c:formatCode>General</c:formatCode>
                <c:ptCount val="7"/>
                <c:pt idx="0">
                  <c:v>1985</c:v>
                </c:pt>
                <c:pt idx="1">
                  <c:v>1986</c:v>
                </c:pt>
                <c:pt idx="2">
                  <c:v>1987</c:v>
                </c:pt>
                <c:pt idx="3">
                  <c:v>1988</c:v>
                </c:pt>
                <c:pt idx="4">
                  <c:v>1998</c:v>
                </c:pt>
                <c:pt idx="5">
                  <c:v>2002</c:v>
                </c:pt>
                <c:pt idx="6">
                  <c:v>2006</c:v>
                </c:pt>
              </c:numCache>
            </c:numRef>
          </c:cat>
          <c:val>
            <c:numRef>
              <c:f>'ASM_Fuel_Cost_1985-88'!$E$290:$K$290</c:f>
              <c:numCache>
                <c:formatCode>0.0</c:formatCode>
                <c:ptCount val="7"/>
                <c:pt idx="0">
                  <c:v>165.99525640535066</c:v>
                </c:pt>
                <c:pt idx="1">
                  <c:v>152.64443149339215</c:v>
                </c:pt>
                <c:pt idx="2">
                  <c:v>154.31328460738698</c:v>
                </c:pt>
                <c:pt idx="3">
                  <c:v>158.42978895524087</c:v>
                </c:pt>
                <c:pt idx="4">
                  <c:v>58.499848</c:v>
                </c:pt>
                <c:pt idx="5">
                  <c:v>38.904455999999996</c:v>
                </c:pt>
                <c:pt idx="6">
                  <c:v>28.391231999999999</c:v>
                </c:pt>
              </c:numCache>
            </c:numRef>
          </c:val>
          <c:smooth val="0"/>
          <c:extLst>
            <c:ext xmlns:c16="http://schemas.microsoft.com/office/drawing/2014/chart" uri="{C3380CC4-5D6E-409C-BE32-E72D297353CC}">
              <c16:uniqueId val="{00000000-15B8-4FBB-B8E3-E96566E3A3DF}"/>
            </c:ext>
          </c:extLst>
        </c:ser>
        <c:ser>
          <c:idx val="1"/>
          <c:order val="1"/>
          <c:tx>
            <c:strRef>
              <c:f>'ASM_Fuel_Cost_1985-88'!$D$291</c:f>
              <c:strCache>
                <c:ptCount val="1"/>
                <c:pt idx="0">
                  <c:v>339</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'ASM_Fuel_Cost_1985-88'!$E$289:$K$289</c:f>
              <c:numCache>
                <c:formatCode>General</c:formatCode>
                <c:ptCount val="7"/>
                <c:pt idx="0">
                  <c:v>1985</c:v>
                </c:pt>
                <c:pt idx="1">
                  <c:v>1986</c:v>
                </c:pt>
                <c:pt idx="2">
                  <c:v>1987</c:v>
                </c:pt>
                <c:pt idx="3">
                  <c:v>1988</c:v>
                </c:pt>
                <c:pt idx="4">
                  <c:v>1998</c:v>
                </c:pt>
                <c:pt idx="5">
                  <c:v>2002</c:v>
                </c:pt>
                <c:pt idx="6">
                  <c:v>2006</c:v>
                </c:pt>
              </c:numCache>
            </c:numRef>
          </c:cat>
          <c:val>
            <c:numRef>
              <c:f>'ASM_Fuel_Cost_1985-88'!$E$291:$K$291</c:f>
              <c:numCache>
                <c:formatCode>0.0</c:formatCode>
                <c:ptCount val="7"/>
                <c:pt idx="0">
                  <c:v>174.74674335299875</c:v>
                </c:pt>
                <c:pt idx="1">
                  <c:v>155.16329883457362</c:v>
                </c:pt>
                <c:pt idx="2">
                  <c:v>165.10844409991387</c:v>
                </c:pt>
                <c:pt idx="3">
                  <c:v>173.81121894200757</c:v>
                </c:pt>
                <c:pt idx="4">
                  <c:v>47.700868</c:v>
                </c:pt>
                <c:pt idx="5">
                  <c:v>35.603912000000001</c:v>
                </c:pt>
                <c:pt idx="6">
                  <c:v>32.982075999999999</c:v>
                </c:pt>
              </c:numCache>
            </c:numRef>
          </c:val>
          <c:smooth val="0"/>
          <c:extLst>
            <c:ext xmlns:c16="http://schemas.microsoft.com/office/drawing/2014/chart" uri="{C3380CC4-5D6E-409C-BE32-E72D297353CC}">
              <c16:uniqueId val="{00000001-15B8-4FBB-B8E3-E96566E3A3DF}"/>
            </c:ext>
          </c:extLst>
        </c:ser>
        <c:dLbls>
          <c:showLegendKey val="0"/>
          <c:showVal val="0"/>
          <c:showCatName val="0"/>
          <c:showSerName val="0"/>
          <c:showPercent val="0"/>
          <c:showBubbleSize val="0"/>
        </c:dLbls>
        <c:marker val="1"/>
        <c:smooth val="0"/>
        <c:axId val="122685952"/>
        <c:axId val="133507328"/>
      </c:lineChart>
      <c:catAx>
        <c:axId val="122685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507328"/>
        <c:crosses val="autoZero"/>
        <c:auto val="1"/>
        <c:lblAlgn val="ctr"/>
        <c:lblOffset val="100"/>
        <c:tickLblSkip val="1"/>
        <c:tickMarkSkip val="1"/>
        <c:noMultiLvlLbl val="0"/>
      </c:catAx>
      <c:valAx>
        <c:axId val="133507328"/>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2685952"/>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42036553524804177"/>
          <c:w val="9.7087548522454048E-2"/>
          <c:h val="0.1122715404699739"/>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708505524967252E-2"/>
          <c:w val="0.72492023936880468"/>
          <c:h val="0.81510623958902895"/>
        </c:manualLayout>
      </c:layout>
      <c:lineChart>
        <c:grouping val="standard"/>
        <c:varyColors val="0"/>
        <c:ser>
          <c:idx val="0"/>
          <c:order val="0"/>
          <c:tx>
            <c:strRef>
              <c:f>MECS_Fuel!$D$244</c:f>
              <c:strCache>
                <c:ptCount val="1"/>
                <c:pt idx="0">
                  <c:v>311-312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MECS_Fuel!$E$243:$M$243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MECS_Fuel!$E$244:$M$244</c:f>
              <c:numCache>
                <c:formatCode>0.0</c:formatCode>
                <c:ptCount val="9"/>
                <c:pt idx="0">
                  <c:v>814.40918409036976</c:v>
                </c:pt>
                <c:pt idx="1">
                  <c:v>851.12053122624513</c:v>
                </c:pt>
                <c:pt idx="2">
                  <c:v>809.67414956814787</c:v>
                </c:pt>
                <c:pt idx="3">
                  <c:v>1008.5825527109854</c:v>
                </c:pt>
                <c:pt idx="4" formatCode="#,##0.0">
                  <c:v>914.596452</c:v>
                </c:pt>
                <c:pt idx="5" formatCode="#,##0.0">
                  <c:v>963.55408</c:v>
                </c:pt>
                <c:pt idx="6" formatCode="#,##0.0">
                  <c:v>1014.1992240000001</c:v>
                </c:pt>
                <c:pt idx="7" formatCode="#,##0.0">
                  <c:v>958</c:v>
                </c:pt>
                <c:pt idx="8" formatCode="#,##0.0">
                  <c:v>929</c:v>
                </c:pt>
              </c:numCache>
            </c:numRef>
          </c:val>
          <c:smooth val="0"/>
          <c:extLst>
            <c:ext xmlns:c16="http://schemas.microsoft.com/office/drawing/2014/chart" uri="{C3380CC4-5D6E-409C-BE32-E72D297353CC}">
              <c16:uniqueId val="{00000000-D6AC-4259-A70A-01F1FD801DEE}"/>
            </c:ext>
          </c:extLst>
        </c:ser>
        <c:ser>
          <c:idx val="1"/>
          <c:order val="1"/>
          <c:tx>
            <c:strRef>
              <c:f>MECS_Fuel!$D$245</c:f>
              <c:strCache>
                <c:ptCount val="1"/>
                <c:pt idx="0">
                  <c:v>313-314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MECS_Fuel!$E$243:$M$243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MECS_Fuel!$E$245:$M$245</c:f>
              <c:numCache>
                <c:formatCode>0.0</c:formatCode>
                <c:ptCount val="9"/>
                <c:pt idx="0">
                  <c:v>156.1414043262503</c:v>
                </c:pt>
                <c:pt idx="1">
                  <c:v>168.48905994885055</c:v>
                </c:pt>
                <c:pt idx="2">
                  <c:v>167.22964134569051</c:v>
                </c:pt>
                <c:pt idx="3">
                  <c:v>192.94392268146368</c:v>
                </c:pt>
                <c:pt idx="4" formatCode="#,##0.0">
                  <c:v>183.883668</c:v>
                </c:pt>
                <c:pt idx="5" formatCode="#,##0.0">
                  <c:v>161.77534800000001</c:v>
                </c:pt>
                <c:pt idx="6" formatCode="#,##0.0">
                  <c:v>164.407712</c:v>
                </c:pt>
                <c:pt idx="7" formatCode="#,##0.0">
                  <c:v>62</c:v>
                </c:pt>
                <c:pt idx="8" formatCode="#,##0.0">
                  <c:v>72</c:v>
                </c:pt>
              </c:numCache>
            </c:numRef>
          </c:val>
          <c:smooth val="0"/>
          <c:extLst>
            <c:ext xmlns:c16="http://schemas.microsoft.com/office/drawing/2014/chart" uri="{C3380CC4-5D6E-409C-BE32-E72D297353CC}">
              <c16:uniqueId val="{00000001-D6AC-4259-A70A-01F1FD801DEE}"/>
            </c:ext>
          </c:extLst>
        </c:ser>
        <c:ser>
          <c:idx val="2"/>
          <c:order val="2"/>
          <c:tx>
            <c:strRef>
              <c:f>MECS_Fuel!$D$246</c:f>
              <c:strCache>
                <c:ptCount val="1"/>
                <c:pt idx="0">
                  <c:v>315-316</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MECS_Fuel!$E$243:$M$243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MECS_Fuel!$E$246:$M$246</c:f>
              <c:numCache>
                <c:formatCode>0.0</c:formatCode>
                <c:ptCount val="9"/>
                <c:pt idx="0">
                  <c:v>27.870927218965459</c:v>
                </c:pt>
                <c:pt idx="1">
                  <c:v>46.203934666809843</c:v>
                </c:pt>
                <c:pt idx="2">
                  <c:v>36.963147733447869</c:v>
                </c:pt>
                <c:pt idx="3">
                  <c:v>39.957336159874167</c:v>
                </c:pt>
                <c:pt idx="4" formatCode="#,##0.0">
                  <c:v>35.487055999999995</c:v>
                </c:pt>
                <c:pt idx="5" formatCode="#,##0.0">
                  <c:v>22.314752000000002</c:v>
                </c:pt>
                <c:pt idx="6" formatCode="#,##0.0">
                  <c:v>8.7224880000000002</c:v>
                </c:pt>
                <c:pt idx="7" formatCode="#,##0.0">
                  <c:v>3</c:v>
                </c:pt>
                <c:pt idx="8" formatCode="#,##0.0">
                  <c:v>3</c:v>
                </c:pt>
              </c:numCache>
            </c:numRef>
          </c:val>
          <c:smooth val="0"/>
          <c:extLst>
            <c:ext xmlns:c16="http://schemas.microsoft.com/office/drawing/2014/chart" uri="{C3380CC4-5D6E-409C-BE32-E72D297353CC}">
              <c16:uniqueId val="{00000002-D6AC-4259-A70A-01F1FD801DEE}"/>
            </c:ext>
          </c:extLst>
        </c:ser>
        <c:ser>
          <c:idx val="3"/>
          <c:order val="3"/>
          <c:tx>
            <c:strRef>
              <c:f>MECS_Fuel!$D$247</c:f>
              <c:strCache>
                <c:ptCount val="1"/>
                <c:pt idx="0">
                  <c:v>321</c:v>
                </c:pt>
              </c:strCache>
            </c:strRef>
          </c:tx>
          <c:spPr>
            <a:ln w="12700">
              <a:solidFill>
                <a:srgbClr val="00FFFF"/>
              </a:solidFill>
              <a:prstDash val="solid"/>
            </a:ln>
          </c:spPr>
          <c:marker>
            <c:symbol val="x"/>
            <c:size val="5"/>
            <c:spPr>
              <a:noFill/>
              <a:ln>
                <a:solidFill>
                  <a:srgbClr val="00FFFF"/>
                </a:solidFill>
                <a:prstDash val="solid"/>
              </a:ln>
            </c:spPr>
          </c:marker>
          <c:cat>
            <c:numRef>
              <c:f>MECS_Fuel!$E$243:$M$243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MECS_Fuel!$E$247:$M$247</c:f>
              <c:numCache>
                <c:formatCode>0.0</c:formatCode>
                <c:ptCount val="9"/>
                <c:pt idx="0">
                  <c:v>248.79987339144392</c:v>
                </c:pt>
                <c:pt idx="1">
                  <c:v>302.60197307912358</c:v>
                </c:pt>
                <c:pt idx="2">
                  <c:v>314.83245355703338</c:v>
                </c:pt>
                <c:pt idx="3">
                  <c:v>319.45866435321039</c:v>
                </c:pt>
                <c:pt idx="4" formatCode="#,##0.0">
                  <c:v>431.76796000000002</c:v>
                </c:pt>
                <c:pt idx="5" formatCode="#,##0.0">
                  <c:v>303.39918</c:v>
                </c:pt>
                <c:pt idx="6" formatCode="#,##0.0">
                  <c:v>353.821124</c:v>
                </c:pt>
                <c:pt idx="7" formatCode="#,##0.0">
                  <c:v>418</c:v>
                </c:pt>
                <c:pt idx="8" formatCode="#,##0.0">
                  <c:v>311</c:v>
                </c:pt>
              </c:numCache>
            </c:numRef>
          </c:val>
          <c:smooth val="0"/>
          <c:extLst>
            <c:ext xmlns:c16="http://schemas.microsoft.com/office/drawing/2014/chart" uri="{C3380CC4-5D6E-409C-BE32-E72D297353CC}">
              <c16:uniqueId val="{00000003-D6AC-4259-A70A-01F1FD801DEE}"/>
            </c:ext>
          </c:extLst>
        </c:ser>
        <c:dLbls>
          <c:showLegendKey val="0"/>
          <c:showVal val="0"/>
          <c:showCatName val="0"/>
          <c:showSerName val="0"/>
          <c:showPercent val="0"/>
          <c:showBubbleSize val="0"/>
        </c:dLbls>
        <c:marker val="1"/>
        <c:smooth val="0"/>
        <c:axId val="136521216"/>
        <c:axId val="133510784"/>
      </c:lineChart>
      <c:catAx>
        <c:axId val="13652121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510784"/>
        <c:crosses val="autoZero"/>
        <c:auto val="1"/>
        <c:lblAlgn val="ctr"/>
        <c:lblOffset val="100"/>
        <c:tickLblSkip val="1"/>
        <c:tickMarkSkip val="1"/>
        <c:noMultiLvlLbl val="0"/>
      </c:catAx>
      <c:valAx>
        <c:axId val="133510784"/>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6521216"/>
        <c:crosses val="autoZero"/>
        <c:crossBetween val="between"/>
      </c:valAx>
      <c:spPr>
        <a:solidFill>
          <a:srgbClr val="C0C0C0"/>
        </a:solidFill>
        <a:ln w="12700">
          <a:solidFill>
            <a:srgbClr val="808080"/>
          </a:solidFill>
          <a:prstDash val="solid"/>
        </a:ln>
      </c:spPr>
    </c:plotArea>
    <c:legend>
      <c:legendPos val="r"/>
      <c:layout>
        <c:manualLayout>
          <c:xMode val="edge"/>
          <c:yMode val="edge"/>
          <c:x val="0.84951592216021532"/>
          <c:y val="0.36458415354330709"/>
          <c:w val="0.13754062295611102"/>
          <c:h val="0.22135471347331581"/>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885117493472591E-2"/>
          <c:w val="0.76537337772643876"/>
          <c:h val="0.81462140992167098"/>
        </c:manualLayout>
      </c:layout>
      <c:lineChart>
        <c:grouping val="standard"/>
        <c:varyColors val="0"/>
        <c:ser>
          <c:idx val="0"/>
          <c:order val="0"/>
          <c:tx>
            <c:strRef>
              <c:f>MECS_Fuel!$D$269</c:f>
              <c:strCache>
                <c:ptCount val="1"/>
                <c:pt idx="0">
                  <c:v>322</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MECS_Fuel!$E$268:$M$268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MECS_Fuel!$E$269:$M$269</c:f>
              <c:numCache>
                <c:formatCode>0.0</c:formatCode>
                <c:ptCount val="9"/>
                <c:pt idx="0">
                  <c:v>2017.3632372266716</c:v>
                </c:pt>
                <c:pt idx="1">
                  <c:v>2153.9562641132611</c:v>
                </c:pt>
                <c:pt idx="2">
                  <c:v>2267.2367478194155</c:v>
                </c:pt>
                <c:pt idx="3">
                  <c:v>2406.5414497255788</c:v>
                </c:pt>
                <c:pt idx="4">
                  <c:v>2503.918032</c:v>
                </c:pt>
                <c:pt idx="5">
                  <c:v>2137.503764</c:v>
                </c:pt>
                <c:pt idx="6">
                  <c:v>2106.5685840000001</c:v>
                </c:pt>
                <c:pt idx="7">
                  <c:v>1904</c:v>
                </c:pt>
                <c:pt idx="8">
                  <c:v>1899</c:v>
                </c:pt>
              </c:numCache>
            </c:numRef>
          </c:val>
          <c:smooth val="0"/>
          <c:extLst>
            <c:ext xmlns:c16="http://schemas.microsoft.com/office/drawing/2014/chart" uri="{C3380CC4-5D6E-409C-BE32-E72D297353CC}">
              <c16:uniqueId val="{00000000-2472-4825-AD81-0128FA26B555}"/>
            </c:ext>
          </c:extLst>
        </c:ser>
        <c:ser>
          <c:idx val="1"/>
          <c:order val="1"/>
          <c:tx>
            <c:strRef>
              <c:f>MECS_Fuel!$D$270</c:f>
              <c:strCache>
                <c:ptCount val="1"/>
                <c:pt idx="0">
                  <c:v>323</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MECS_Fuel!$E$268:$M$268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MECS_Fuel!$E$270:$M$270</c:f>
              <c:numCache>
                <c:formatCode>0.0</c:formatCode>
                <c:ptCount val="9"/>
                <c:pt idx="0">
                  <c:v>26.699079874753146</c:v>
                </c:pt>
                <c:pt idx="1">
                  <c:v>40.089746346787351</c:v>
                </c:pt>
                <c:pt idx="2">
                  <c:v>38.576483481067747</c:v>
                </c:pt>
                <c:pt idx="3">
                  <c:v>37.113573244007682</c:v>
                </c:pt>
                <c:pt idx="4">
                  <c:v>47.004247999999997</c:v>
                </c:pt>
                <c:pt idx="5">
                  <c:v>47.795832000000004</c:v>
                </c:pt>
                <c:pt idx="6">
                  <c:v>40.374451999999998</c:v>
                </c:pt>
                <c:pt idx="7">
                  <c:v>36</c:v>
                </c:pt>
                <c:pt idx="8">
                  <c:v>40</c:v>
                </c:pt>
              </c:numCache>
            </c:numRef>
          </c:val>
          <c:smooth val="0"/>
          <c:extLst>
            <c:ext xmlns:c16="http://schemas.microsoft.com/office/drawing/2014/chart" uri="{C3380CC4-5D6E-409C-BE32-E72D297353CC}">
              <c16:uniqueId val="{00000001-2472-4825-AD81-0128FA26B555}"/>
            </c:ext>
          </c:extLst>
        </c:ser>
        <c:ser>
          <c:idx val="2"/>
          <c:order val="2"/>
          <c:tx>
            <c:strRef>
              <c:f>MECS_Fuel!$D$271</c:f>
              <c:strCache>
                <c:ptCount val="1"/>
                <c:pt idx="0">
                  <c:v>324</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MECS_Fuel!$E$268:$M$268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MECS_Fuel!$E$271:$M$271</c:f>
              <c:numCache>
                <c:formatCode>0.0</c:formatCode>
                <c:ptCount val="9"/>
                <c:pt idx="0">
                  <c:v>2519.6333802647096</c:v>
                </c:pt>
                <c:pt idx="1">
                  <c:v>3018.3157833208888</c:v>
                </c:pt>
                <c:pt idx="2">
                  <c:v>2884.3712617836486</c:v>
                </c:pt>
                <c:pt idx="3">
                  <c:v>3144.6947232151383</c:v>
                </c:pt>
                <c:pt idx="4">
                  <c:v>3495.5546920000002</c:v>
                </c:pt>
                <c:pt idx="5">
                  <c:v>3075.1213680000001</c:v>
                </c:pt>
                <c:pt idx="6">
                  <c:v>3259.0627920000002</c:v>
                </c:pt>
                <c:pt idx="7">
                  <c:v>3159</c:v>
                </c:pt>
                <c:pt idx="8">
                  <c:v>3346</c:v>
                </c:pt>
              </c:numCache>
            </c:numRef>
          </c:val>
          <c:smooth val="0"/>
          <c:extLst>
            <c:ext xmlns:c16="http://schemas.microsoft.com/office/drawing/2014/chart" uri="{C3380CC4-5D6E-409C-BE32-E72D297353CC}">
              <c16:uniqueId val="{00000002-2472-4825-AD81-0128FA26B555}"/>
            </c:ext>
          </c:extLst>
        </c:ser>
        <c:ser>
          <c:idx val="3"/>
          <c:order val="3"/>
          <c:tx>
            <c:strRef>
              <c:f>MECS_Fuel!$D$272</c:f>
              <c:strCache>
                <c:ptCount val="1"/>
                <c:pt idx="0">
                  <c:v>325</c:v>
                </c:pt>
              </c:strCache>
            </c:strRef>
          </c:tx>
          <c:spPr>
            <a:ln w="12700">
              <a:solidFill>
                <a:srgbClr val="00FFFF"/>
              </a:solidFill>
              <a:prstDash val="solid"/>
            </a:ln>
          </c:spPr>
          <c:marker>
            <c:symbol val="x"/>
            <c:size val="5"/>
            <c:spPr>
              <a:noFill/>
              <a:ln>
                <a:solidFill>
                  <a:srgbClr val="00FFFF"/>
                </a:solidFill>
                <a:prstDash val="solid"/>
              </a:ln>
            </c:spPr>
          </c:marker>
          <c:cat>
            <c:numRef>
              <c:f>MECS_Fuel!$E$268:$M$268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MECS_Fuel!$E$272:$M$272</c:f>
              <c:numCache>
                <c:formatCode>0.0</c:formatCode>
                <c:ptCount val="9"/>
                <c:pt idx="0">
                  <c:v>1982.3306729500532</c:v>
                </c:pt>
                <c:pt idx="1">
                  <c:v>2425.2974275342949</c:v>
                </c:pt>
                <c:pt idx="2">
                  <c:v>2577.2858974832011</c:v>
                </c:pt>
                <c:pt idx="3">
                  <c:v>2729.1714558311169</c:v>
                </c:pt>
                <c:pt idx="4">
                  <c:v>3126.5770039999998</c:v>
                </c:pt>
                <c:pt idx="5">
                  <c:v>3246.609152</c:v>
                </c:pt>
                <c:pt idx="6">
                  <c:v>2677.7578599999997</c:v>
                </c:pt>
                <c:pt idx="7">
                  <c:v>2772</c:v>
                </c:pt>
                <c:pt idx="8">
                  <c:v>3069</c:v>
                </c:pt>
              </c:numCache>
            </c:numRef>
          </c:val>
          <c:smooth val="0"/>
          <c:extLst>
            <c:ext xmlns:c16="http://schemas.microsoft.com/office/drawing/2014/chart" uri="{C3380CC4-5D6E-409C-BE32-E72D297353CC}">
              <c16:uniqueId val="{00000003-2472-4825-AD81-0128FA26B555}"/>
            </c:ext>
          </c:extLst>
        </c:ser>
        <c:dLbls>
          <c:showLegendKey val="0"/>
          <c:showVal val="0"/>
          <c:showCatName val="0"/>
          <c:showSerName val="0"/>
          <c:showPercent val="0"/>
          <c:showBubbleSize val="0"/>
        </c:dLbls>
        <c:marker val="1"/>
        <c:smooth val="0"/>
        <c:axId val="136522752"/>
        <c:axId val="133324800"/>
      </c:lineChart>
      <c:catAx>
        <c:axId val="1365227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324800"/>
        <c:crosses val="autoZero"/>
        <c:auto val="1"/>
        <c:lblAlgn val="ctr"/>
        <c:lblOffset val="100"/>
        <c:tickLblSkip val="1"/>
        <c:tickMarkSkip val="1"/>
        <c:noMultiLvlLbl val="0"/>
      </c:catAx>
      <c:valAx>
        <c:axId val="133324800"/>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6522752"/>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6553524804177545"/>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79628526415426"/>
          <c:y val="6.7885117493472591E-2"/>
          <c:w val="0.76537337772643876"/>
          <c:h val="0.81462140992167098"/>
        </c:manualLayout>
      </c:layout>
      <c:lineChart>
        <c:grouping val="standard"/>
        <c:varyColors val="0"/>
        <c:ser>
          <c:idx val="0"/>
          <c:order val="0"/>
          <c:tx>
            <c:strRef>
              <c:f>MECS_Fuel!$D$294</c:f>
              <c:strCache>
                <c:ptCount val="1"/>
                <c:pt idx="0">
                  <c:v>326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MECS_Fuel!$E$293:$M$293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MECS_Fuel!$E$294:$M$294</c:f>
              <c:numCache>
                <c:formatCode>0.0</c:formatCode>
                <c:ptCount val="9"/>
                <c:pt idx="0">
                  <c:v>128.43055874180072</c:v>
                </c:pt>
                <c:pt idx="1">
                  <c:v>150.36582650079393</c:v>
                </c:pt>
                <c:pt idx="2">
                  <c:v>125.61488437265322</c:v>
                </c:pt>
                <c:pt idx="3">
                  <c:v>141.58522460569185</c:v>
                </c:pt>
                <c:pt idx="4">
                  <c:v>144.39999600000002</c:v>
                </c:pt>
                <c:pt idx="5">
                  <c:v>166.54642800000002</c:v>
                </c:pt>
                <c:pt idx="6">
                  <c:v>153.785552</c:v>
                </c:pt>
                <c:pt idx="7">
                  <c:v>116</c:v>
                </c:pt>
                <c:pt idx="8">
                  <c:v>104</c:v>
                </c:pt>
              </c:numCache>
            </c:numRef>
          </c:val>
          <c:smooth val="0"/>
          <c:extLst>
            <c:ext xmlns:c16="http://schemas.microsoft.com/office/drawing/2014/chart" uri="{C3380CC4-5D6E-409C-BE32-E72D297353CC}">
              <c16:uniqueId val="{00000000-039E-41C3-A7BA-54F96BB43E99}"/>
            </c:ext>
          </c:extLst>
        </c:ser>
        <c:ser>
          <c:idx val="1"/>
          <c:order val="1"/>
          <c:tx>
            <c:strRef>
              <c:f>MECS_Fuel!$D$295</c:f>
              <c:strCache>
                <c:ptCount val="1"/>
                <c:pt idx="0">
                  <c:v>327</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MECS_Fuel!$E$293:$M$293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MECS_Fuel!$E$295:$M$295</c:f>
              <c:numCache>
                <c:formatCode>0.0</c:formatCode>
                <c:ptCount val="9"/>
                <c:pt idx="0">
                  <c:v>791.01545520082436</c:v>
                </c:pt>
                <c:pt idx="1">
                  <c:v>884.64406029384702</c:v>
                </c:pt>
                <c:pt idx="2">
                  <c:v>788.81428212035598</c:v>
                </c:pt>
                <c:pt idx="3">
                  <c:v>822.05619657793363</c:v>
                </c:pt>
                <c:pt idx="4">
                  <c:v>834.98687599999994</c:v>
                </c:pt>
                <c:pt idx="5">
                  <c:v>910.76708400000007</c:v>
                </c:pt>
                <c:pt idx="6">
                  <c:v>958.36588800000004</c:v>
                </c:pt>
                <c:pt idx="7">
                  <c:v>600</c:v>
                </c:pt>
                <c:pt idx="8">
                  <c:v>699</c:v>
                </c:pt>
              </c:numCache>
            </c:numRef>
          </c:val>
          <c:smooth val="0"/>
          <c:extLst>
            <c:ext xmlns:c16="http://schemas.microsoft.com/office/drawing/2014/chart" uri="{C3380CC4-5D6E-409C-BE32-E72D297353CC}">
              <c16:uniqueId val="{00000001-039E-41C3-A7BA-54F96BB43E99}"/>
            </c:ext>
          </c:extLst>
        </c:ser>
        <c:ser>
          <c:idx val="2"/>
          <c:order val="2"/>
          <c:tx>
            <c:strRef>
              <c:f>MECS_Fuel!$D$296</c:f>
              <c:strCache>
                <c:ptCount val="1"/>
                <c:pt idx="0">
                  <c:v>331</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MECS_Fuel!$E$293:$M$293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MECS_Fuel!$E$296:$M$296</c:f>
              <c:numCache>
                <c:formatCode>0.0</c:formatCode>
                <c:ptCount val="9"/>
                <c:pt idx="0">
                  <c:v>1931.5726855408925</c:v>
                </c:pt>
                <c:pt idx="1">
                  <c:v>2134.8918237453663</c:v>
                </c:pt>
                <c:pt idx="2">
                  <c:v>1811.54797443144</c:v>
                </c:pt>
                <c:pt idx="3">
                  <c:v>2096.657607556745</c:v>
                </c:pt>
                <c:pt idx="4">
                  <c:v>2031.356088</c:v>
                </c:pt>
                <c:pt idx="5">
                  <c:v>1629.9591760000001</c:v>
                </c:pt>
                <c:pt idx="6">
                  <c:v>1285.6831</c:v>
                </c:pt>
                <c:pt idx="7">
                  <c:v>1255</c:v>
                </c:pt>
                <c:pt idx="8">
                  <c:v>1251</c:v>
                </c:pt>
              </c:numCache>
            </c:numRef>
          </c:val>
          <c:smooth val="0"/>
          <c:extLst>
            <c:ext xmlns:c16="http://schemas.microsoft.com/office/drawing/2014/chart" uri="{C3380CC4-5D6E-409C-BE32-E72D297353CC}">
              <c16:uniqueId val="{00000002-039E-41C3-A7BA-54F96BB43E99}"/>
            </c:ext>
          </c:extLst>
        </c:ser>
        <c:ser>
          <c:idx val="3"/>
          <c:order val="3"/>
          <c:tx>
            <c:strRef>
              <c:f>MECS_Fuel!$D$297</c:f>
              <c:strCache>
                <c:ptCount val="1"/>
                <c:pt idx="0">
                  <c:v>332</c:v>
                </c:pt>
              </c:strCache>
            </c:strRef>
          </c:tx>
          <c:spPr>
            <a:ln w="12700">
              <a:solidFill>
                <a:srgbClr val="00FFFF"/>
              </a:solidFill>
              <a:prstDash val="solid"/>
            </a:ln>
          </c:spPr>
          <c:marker>
            <c:symbol val="x"/>
            <c:size val="5"/>
            <c:spPr>
              <a:noFill/>
              <a:ln>
                <a:solidFill>
                  <a:srgbClr val="00FFFF"/>
                </a:solidFill>
                <a:prstDash val="solid"/>
              </a:ln>
            </c:spPr>
          </c:marker>
          <c:cat>
            <c:numRef>
              <c:f>MECS_Fuel!$E$293:$M$293</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MECS_Fuel!$E$297:$M$297</c:f>
              <c:numCache>
                <c:formatCode>0.0</c:formatCode>
                <c:ptCount val="9"/>
                <c:pt idx="0">
                  <c:v>218.6220851003327</c:v>
                </c:pt>
                <c:pt idx="1">
                  <c:v>251.14969713900282</c:v>
                </c:pt>
                <c:pt idx="2">
                  <c:v>217.28105279356296</c:v>
                </c:pt>
                <c:pt idx="3">
                  <c:v>263.57968281835372</c:v>
                </c:pt>
                <c:pt idx="4">
                  <c:v>265.28541200000001</c:v>
                </c:pt>
                <c:pt idx="5">
                  <c:v>226.21632399999999</c:v>
                </c:pt>
                <c:pt idx="6">
                  <c:v>253.81542000000002</c:v>
                </c:pt>
                <c:pt idx="7">
                  <c:v>174</c:v>
                </c:pt>
                <c:pt idx="8">
                  <c:v>201</c:v>
                </c:pt>
              </c:numCache>
            </c:numRef>
          </c:val>
          <c:smooth val="0"/>
          <c:extLst>
            <c:ext xmlns:c16="http://schemas.microsoft.com/office/drawing/2014/chart" uri="{C3380CC4-5D6E-409C-BE32-E72D297353CC}">
              <c16:uniqueId val="{00000003-039E-41C3-A7BA-54F96BB43E99}"/>
            </c:ext>
          </c:extLst>
        </c:ser>
        <c:dLbls>
          <c:showLegendKey val="0"/>
          <c:showVal val="0"/>
          <c:showCatName val="0"/>
          <c:showSerName val="0"/>
          <c:showPercent val="0"/>
          <c:showBubbleSize val="0"/>
        </c:dLbls>
        <c:marker val="1"/>
        <c:smooth val="0"/>
        <c:axId val="132575232"/>
        <c:axId val="133326528"/>
      </c:lineChart>
      <c:catAx>
        <c:axId val="13257523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326528"/>
        <c:crosses val="autoZero"/>
        <c:auto val="1"/>
        <c:lblAlgn val="ctr"/>
        <c:lblOffset val="100"/>
        <c:tickLblSkip val="1"/>
        <c:tickMarkSkip val="1"/>
        <c:noMultiLvlLbl val="0"/>
      </c:catAx>
      <c:valAx>
        <c:axId val="133326528"/>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575232"/>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6553524804177545"/>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469406524016684E-2"/>
          <c:y val="6.7885117493472591E-2"/>
          <c:w val="0.77670025646657637"/>
          <c:h val="0.81462140992167098"/>
        </c:manualLayout>
      </c:layout>
      <c:lineChart>
        <c:grouping val="standard"/>
        <c:varyColors val="0"/>
        <c:ser>
          <c:idx val="0"/>
          <c:order val="0"/>
          <c:tx>
            <c:strRef>
              <c:f>MECS_Fuel!$D$319</c:f>
              <c:strCache>
                <c:ptCount val="1"/>
                <c:pt idx="0">
                  <c:v>333</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MECS_Fuel!$E$318:$M$318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MECS_Fuel!$E$319:$M$319</c:f>
              <c:numCache>
                <c:formatCode>0.0</c:formatCode>
                <c:ptCount val="9"/>
                <c:pt idx="0">
                  <c:v>118.55685257512636</c:v>
                </c:pt>
                <c:pt idx="1">
                  <c:v>138.88393804304263</c:v>
                </c:pt>
                <c:pt idx="2">
                  <c:v>113.47965946591772</c:v>
                </c:pt>
                <c:pt idx="3">
                  <c:v>112.92234511482371</c:v>
                </c:pt>
                <c:pt idx="4">
                  <c:v>116.85666400000001</c:v>
                </c:pt>
                <c:pt idx="5">
                  <c:v>91.191044000000005</c:v>
                </c:pt>
                <c:pt idx="6">
                  <c:v>93.471671999999998</c:v>
                </c:pt>
                <c:pt idx="7">
                  <c:v>78</c:v>
                </c:pt>
                <c:pt idx="8">
                  <c:v>84</c:v>
                </c:pt>
              </c:numCache>
            </c:numRef>
          </c:val>
          <c:smooth val="0"/>
          <c:extLst>
            <c:ext xmlns:c16="http://schemas.microsoft.com/office/drawing/2014/chart" uri="{C3380CC4-5D6E-409C-BE32-E72D297353CC}">
              <c16:uniqueId val="{00000000-E197-4B0E-A411-F29A6974B1D5}"/>
            </c:ext>
          </c:extLst>
        </c:ser>
        <c:ser>
          <c:idx val="1"/>
          <c:order val="1"/>
          <c:tx>
            <c:strRef>
              <c:f>MECS_Fuel!$D$320</c:f>
              <c:strCache>
                <c:ptCount val="1"/>
                <c:pt idx="0">
                  <c:v>334</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MECS_Fuel!$E$318:$M$318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MECS_Fuel!$E$320:$M$320</c:f>
              <c:numCache>
                <c:formatCode>0.0</c:formatCode>
                <c:ptCount val="9"/>
                <c:pt idx="0">
                  <c:v>54.789455724294967</c:v>
                </c:pt>
                <c:pt idx="1">
                  <c:v>62.693189717341816</c:v>
                </c:pt>
                <c:pt idx="2">
                  <c:v>56.220714404637988</c:v>
                </c:pt>
                <c:pt idx="3">
                  <c:v>66.930484972733723</c:v>
                </c:pt>
                <c:pt idx="4">
                  <c:v>67.813715999999999</c:v>
                </c:pt>
                <c:pt idx="5">
                  <c:v>69.142976000000004</c:v>
                </c:pt>
                <c:pt idx="6">
                  <c:v>47.139291999999998</c:v>
                </c:pt>
                <c:pt idx="7">
                  <c:v>43</c:v>
                </c:pt>
                <c:pt idx="8">
                  <c:v>50</c:v>
                </c:pt>
              </c:numCache>
            </c:numRef>
          </c:val>
          <c:smooth val="0"/>
          <c:extLst>
            <c:ext xmlns:c16="http://schemas.microsoft.com/office/drawing/2014/chart" uri="{C3380CC4-5D6E-409C-BE32-E72D297353CC}">
              <c16:uniqueId val="{00000001-E197-4B0E-A411-F29A6974B1D5}"/>
            </c:ext>
          </c:extLst>
        </c:ser>
        <c:ser>
          <c:idx val="2"/>
          <c:order val="2"/>
          <c:tx>
            <c:strRef>
              <c:f>MECS_Fuel!$D$321</c:f>
              <c:strCache>
                <c:ptCount val="1"/>
                <c:pt idx="0">
                  <c:v>335</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numRef>
              <c:f>MECS_Fuel!$E$318:$M$318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MECS_Fuel!$E$321:$M$321</c:f>
              <c:numCache>
                <c:formatCode>0.0</c:formatCode>
                <c:ptCount val="9"/>
                <c:pt idx="0">
                  <c:v>62.919467623803939</c:v>
                </c:pt>
                <c:pt idx="1">
                  <c:v>64.55717435203718</c:v>
                </c:pt>
                <c:pt idx="2">
                  <c:v>55.611292613491038</c:v>
                </c:pt>
                <c:pt idx="3">
                  <c:v>67.848599515192888</c:v>
                </c:pt>
                <c:pt idx="4">
                  <c:v>60.671008</c:v>
                </c:pt>
                <c:pt idx="5">
                  <c:v>55.569788000000003</c:v>
                </c:pt>
                <c:pt idx="6">
                  <c:v>43.097796000000002</c:v>
                </c:pt>
                <c:pt idx="7">
                  <c:v>38</c:v>
                </c:pt>
                <c:pt idx="8">
                  <c:v>31</c:v>
                </c:pt>
              </c:numCache>
            </c:numRef>
          </c:val>
          <c:smooth val="0"/>
          <c:extLst>
            <c:ext xmlns:c16="http://schemas.microsoft.com/office/drawing/2014/chart" uri="{C3380CC4-5D6E-409C-BE32-E72D297353CC}">
              <c16:uniqueId val="{00000002-E197-4B0E-A411-F29A6974B1D5}"/>
            </c:ext>
          </c:extLst>
        </c:ser>
        <c:ser>
          <c:idx val="3"/>
          <c:order val="3"/>
          <c:tx>
            <c:strRef>
              <c:f>MECS_Fuel!$D$322</c:f>
              <c:strCache>
                <c:ptCount val="1"/>
                <c:pt idx="0">
                  <c:v>336</c:v>
                </c:pt>
              </c:strCache>
            </c:strRef>
          </c:tx>
          <c:spPr>
            <a:ln w="12700">
              <a:solidFill>
                <a:srgbClr val="00FFFF"/>
              </a:solidFill>
              <a:prstDash val="solid"/>
            </a:ln>
          </c:spPr>
          <c:marker>
            <c:symbol val="x"/>
            <c:size val="5"/>
            <c:spPr>
              <a:noFill/>
              <a:ln>
                <a:solidFill>
                  <a:srgbClr val="00FFFF"/>
                </a:solidFill>
                <a:prstDash val="solid"/>
              </a:ln>
            </c:spPr>
          </c:marker>
          <c:cat>
            <c:numRef>
              <c:f>MECS_Fuel!$E$318:$M$318</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MECS_Fuel!$E$322:$M$322</c:f>
              <c:numCache>
                <c:formatCode>0.0</c:formatCode>
                <c:ptCount val="9"/>
                <c:pt idx="0">
                  <c:v>234.98001273849101</c:v>
                </c:pt>
                <c:pt idx="1">
                  <c:v>254.78050349600764</c:v>
                </c:pt>
                <c:pt idx="2">
                  <c:v>244.13057132985355</c:v>
                </c:pt>
                <c:pt idx="3">
                  <c:v>260.23443301298028</c:v>
                </c:pt>
                <c:pt idx="4">
                  <c:v>292.75512400000002</c:v>
                </c:pt>
                <c:pt idx="5">
                  <c:v>251.66670399999998</c:v>
                </c:pt>
                <c:pt idx="6">
                  <c:v>283.93937199999999</c:v>
                </c:pt>
                <c:pt idx="7">
                  <c:v>143</c:v>
                </c:pt>
                <c:pt idx="8">
                  <c:v>164</c:v>
                </c:pt>
              </c:numCache>
            </c:numRef>
          </c:val>
          <c:smooth val="0"/>
          <c:extLst>
            <c:ext xmlns:c16="http://schemas.microsoft.com/office/drawing/2014/chart" uri="{C3380CC4-5D6E-409C-BE32-E72D297353CC}">
              <c16:uniqueId val="{00000003-E197-4B0E-A411-F29A6974B1D5}"/>
            </c:ext>
          </c:extLst>
        </c:ser>
        <c:dLbls>
          <c:showLegendKey val="0"/>
          <c:showVal val="0"/>
          <c:showCatName val="0"/>
          <c:showSerName val="0"/>
          <c:showPercent val="0"/>
          <c:showBubbleSize val="0"/>
        </c:dLbls>
        <c:marker val="1"/>
        <c:smooth val="0"/>
        <c:axId val="132576256"/>
        <c:axId val="133328832"/>
      </c:lineChart>
      <c:catAx>
        <c:axId val="13257625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328832"/>
        <c:crosses val="autoZero"/>
        <c:auto val="1"/>
        <c:lblAlgn val="ctr"/>
        <c:lblOffset val="100"/>
        <c:tickLblSkip val="1"/>
        <c:tickMarkSkip val="1"/>
        <c:noMultiLvlLbl val="0"/>
      </c:catAx>
      <c:valAx>
        <c:axId val="133328832"/>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576256"/>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36553524804177545"/>
          <c:w val="9.7087548522454048E-2"/>
          <c:h val="0.22193211488250658"/>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142527783879109E-2"/>
          <c:y val="6.7885117493472591E-2"/>
          <c:w val="0.78802713520671397"/>
          <c:h val="0.81462140992167098"/>
        </c:manualLayout>
      </c:layout>
      <c:lineChart>
        <c:grouping val="standard"/>
        <c:varyColors val="0"/>
        <c:ser>
          <c:idx val="0"/>
          <c:order val="0"/>
          <c:tx>
            <c:strRef>
              <c:f>MECS_Fuel!$D$343</c:f>
              <c:strCache>
                <c:ptCount val="1"/>
                <c:pt idx="0">
                  <c:v>337</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MECS_Fuel!$E$342:$M$342</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MECS_Fuel!$E$343:$M$343</c:f>
              <c:numCache>
                <c:formatCode>0.0</c:formatCode>
                <c:ptCount val="9"/>
                <c:pt idx="0">
                  <c:v>37.383822846973821</c:v>
                </c:pt>
                <c:pt idx="1">
                  <c:v>48.640156995919362</c:v>
                </c:pt>
                <c:pt idx="2">
                  <c:v>55.8843501953478</c:v>
                </c:pt>
                <c:pt idx="3">
                  <c:v>47.300771088826892</c:v>
                </c:pt>
                <c:pt idx="4">
                  <c:v>58.499848</c:v>
                </c:pt>
                <c:pt idx="5">
                  <c:v>38.904455999999996</c:v>
                </c:pt>
                <c:pt idx="6">
                  <c:v>28.391231999999999</c:v>
                </c:pt>
                <c:pt idx="7">
                  <c:v>19</c:v>
                </c:pt>
                <c:pt idx="8">
                  <c:v>20</c:v>
                </c:pt>
              </c:numCache>
            </c:numRef>
          </c:val>
          <c:smooth val="0"/>
          <c:extLst>
            <c:ext xmlns:c16="http://schemas.microsoft.com/office/drawing/2014/chart" uri="{C3380CC4-5D6E-409C-BE32-E72D297353CC}">
              <c16:uniqueId val="{00000000-8A50-480F-8E30-FAD4D1A483B0}"/>
            </c:ext>
          </c:extLst>
        </c:ser>
        <c:ser>
          <c:idx val="1"/>
          <c:order val="1"/>
          <c:tx>
            <c:strRef>
              <c:f>MECS_Fuel!$D$344</c:f>
              <c:strCache>
                <c:ptCount val="1"/>
                <c:pt idx="0">
                  <c:v>339</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numRef>
              <c:f>MECS_Fuel!$E$342:$M$342</c:f>
              <c:numCache>
                <c:formatCode>General</c:formatCode>
                <c:ptCount val="9"/>
                <c:pt idx="0">
                  <c:v>1985</c:v>
                </c:pt>
                <c:pt idx="1">
                  <c:v>1988</c:v>
                </c:pt>
                <c:pt idx="2">
                  <c:v>1991</c:v>
                </c:pt>
                <c:pt idx="3">
                  <c:v>1994</c:v>
                </c:pt>
                <c:pt idx="4">
                  <c:v>1998</c:v>
                </c:pt>
                <c:pt idx="5">
                  <c:v>2002</c:v>
                </c:pt>
                <c:pt idx="6">
                  <c:v>2006</c:v>
                </c:pt>
                <c:pt idx="7">
                  <c:v>2010</c:v>
                </c:pt>
                <c:pt idx="8">
                  <c:v>2014</c:v>
                </c:pt>
              </c:numCache>
            </c:numRef>
          </c:cat>
          <c:val>
            <c:numRef>
              <c:f>MECS_Fuel!$E$344:$M$344</c:f>
              <c:numCache>
                <c:formatCode>0.0</c:formatCode>
                <c:ptCount val="9"/>
                <c:pt idx="0">
                  <c:v>33.863505680901589</c:v>
                </c:pt>
                <c:pt idx="1">
                  <c:v>45.434393503358493</c:v>
                </c:pt>
                <c:pt idx="2">
                  <c:v>34.793804965135031</c:v>
                </c:pt>
                <c:pt idx="3">
                  <c:v>48.376910834473634</c:v>
                </c:pt>
                <c:pt idx="4">
                  <c:v>47.700868</c:v>
                </c:pt>
                <c:pt idx="5">
                  <c:v>35.603912000000001</c:v>
                </c:pt>
                <c:pt idx="6">
                  <c:v>32.982075999999999</c:v>
                </c:pt>
                <c:pt idx="7">
                  <c:v>17</c:v>
                </c:pt>
                <c:pt idx="8">
                  <c:v>28</c:v>
                </c:pt>
              </c:numCache>
            </c:numRef>
          </c:val>
          <c:smooth val="0"/>
          <c:extLst>
            <c:ext xmlns:c16="http://schemas.microsoft.com/office/drawing/2014/chart" uri="{C3380CC4-5D6E-409C-BE32-E72D297353CC}">
              <c16:uniqueId val="{00000001-8A50-480F-8E30-FAD4D1A483B0}"/>
            </c:ext>
          </c:extLst>
        </c:ser>
        <c:dLbls>
          <c:showLegendKey val="0"/>
          <c:showVal val="0"/>
          <c:showCatName val="0"/>
          <c:showSerName val="0"/>
          <c:showPercent val="0"/>
          <c:showBubbleSize val="0"/>
        </c:dLbls>
        <c:marker val="1"/>
        <c:smooth val="0"/>
        <c:axId val="132576768"/>
        <c:axId val="133331136"/>
      </c:lineChart>
      <c:catAx>
        <c:axId val="1325767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3331136"/>
        <c:crosses val="autoZero"/>
        <c:auto val="1"/>
        <c:lblAlgn val="ctr"/>
        <c:lblOffset val="100"/>
        <c:tickLblSkip val="1"/>
        <c:tickMarkSkip val="1"/>
        <c:noMultiLvlLbl val="0"/>
      </c:catAx>
      <c:valAx>
        <c:axId val="133331136"/>
        <c:scaling>
          <c:orientation val="minMax"/>
        </c:scaling>
        <c:delete val="0"/>
        <c:axPos val="l"/>
        <c:majorGridlines>
          <c:spPr>
            <a:ln w="3175">
              <a:solidFill>
                <a:srgbClr val="000000"/>
              </a:solidFill>
              <a:prstDash val="solid"/>
            </a:ln>
          </c:spPr>
        </c:majorGridlines>
        <c:numFmt formatCode="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32576768"/>
        <c:crosses val="autoZero"/>
        <c:crossBetween val="between"/>
      </c:valAx>
      <c:spPr>
        <a:solidFill>
          <a:srgbClr val="C0C0C0"/>
        </a:solidFill>
        <a:ln w="12700">
          <a:solidFill>
            <a:srgbClr val="808080"/>
          </a:solidFill>
          <a:prstDash val="solid"/>
        </a:ln>
      </c:spPr>
    </c:plotArea>
    <c:legend>
      <c:legendPos val="r"/>
      <c:layout>
        <c:manualLayout>
          <c:xMode val="edge"/>
          <c:yMode val="edge"/>
          <c:x val="0.8899689965938723"/>
          <c:y val="0.42036553524804177"/>
          <c:w val="9.7087548522454048E-2"/>
          <c:h val="0.1122715404699739"/>
        </c:manualLayout>
      </c:layout>
      <c:overlay val="0"/>
      <c:spPr>
        <a:solidFill>
          <a:srgbClr val="FFFFFF"/>
        </a:solidFill>
        <a:ln w="3175">
          <a:solidFill>
            <a:srgbClr val="000000"/>
          </a:solidFill>
          <a:prstDash val="solid"/>
        </a:ln>
      </c:spPr>
      <c:txPr>
        <a:bodyPr/>
        <a:lstStyle/>
        <a:p>
          <a:pPr>
            <a:defRPr sz="7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5" Type="http://schemas.openxmlformats.org/officeDocument/2006/relationships/chart" Target="../charts/chart32.xml"/><Relationship Id="rId4" Type="http://schemas.openxmlformats.org/officeDocument/2006/relationships/chart" Target="../charts/chart3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35.xml"/><Relationship Id="rId2" Type="http://schemas.openxmlformats.org/officeDocument/2006/relationships/chart" Target="../charts/chart34.xml"/><Relationship Id="rId1" Type="http://schemas.openxmlformats.org/officeDocument/2006/relationships/chart" Target="../charts/chart33.xml"/><Relationship Id="rId5" Type="http://schemas.openxmlformats.org/officeDocument/2006/relationships/chart" Target="../charts/chart37.xml"/><Relationship Id="rId4" Type="http://schemas.openxmlformats.org/officeDocument/2006/relationships/chart" Target="../charts/chart36.xml"/></Relationships>
</file>

<file path=xl/drawings/drawing1.xml><?xml version="1.0" encoding="utf-8"?>
<xdr:wsDr xmlns:xdr="http://schemas.openxmlformats.org/drawingml/2006/spreadsheetDrawing" xmlns:a="http://schemas.openxmlformats.org/drawingml/2006/main">
  <xdr:twoCellAnchor>
    <xdr:from>
      <xdr:col>56</xdr:col>
      <xdr:colOff>361949</xdr:colOff>
      <xdr:row>51</xdr:row>
      <xdr:rowOff>66674</xdr:rowOff>
    </xdr:from>
    <xdr:to>
      <xdr:col>66</xdr:col>
      <xdr:colOff>285750</xdr:colOff>
      <xdr:row>73</xdr:row>
      <xdr:rowOff>57150</xdr:rowOff>
    </xdr:to>
    <xdr:graphicFrame macro="">
      <xdr:nvGraphicFramePr>
        <xdr:cNvPr id="2" name="Chart 2">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57</xdr:col>
      <xdr:colOff>87630</xdr:colOff>
      <xdr:row>75</xdr:row>
      <xdr:rowOff>112394</xdr:rowOff>
    </xdr:from>
    <xdr:to>
      <xdr:col>66</xdr:col>
      <xdr:colOff>390525</xdr:colOff>
      <xdr:row>97</xdr:row>
      <xdr:rowOff>19050</xdr:rowOff>
    </xdr:to>
    <xdr:graphicFrame macro="">
      <xdr:nvGraphicFramePr>
        <xdr:cNvPr id="4" name="Chart 8">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57</xdr:col>
      <xdr:colOff>120014</xdr:colOff>
      <xdr:row>99</xdr:row>
      <xdr:rowOff>93344</xdr:rowOff>
    </xdr:from>
    <xdr:to>
      <xdr:col>67</xdr:col>
      <xdr:colOff>518160</xdr:colOff>
      <xdr:row>118</xdr:row>
      <xdr:rowOff>120014</xdr:rowOff>
    </xdr:to>
    <xdr:graphicFrame macro="">
      <xdr:nvGraphicFramePr>
        <xdr:cNvPr id="5" name="Chart 9">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56</xdr:col>
      <xdr:colOff>596265</xdr:colOff>
      <xdr:row>122</xdr:row>
      <xdr:rowOff>47625</xdr:rowOff>
    </xdr:from>
    <xdr:to>
      <xdr:col>67</xdr:col>
      <xdr:colOff>302895</xdr:colOff>
      <xdr:row>141</xdr:row>
      <xdr:rowOff>76200</xdr:rowOff>
    </xdr:to>
    <xdr:graphicFrame macro="">
      <xdr:nvGraphicFramePr>
        <xdr:cNvPr id="6" name="Chart 10">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422911</xdr:colOff>
      <xdr:row>29</xdr:row>
      <xdr:rowOff>102869</xdr:rowOff>
    </xdr:from>
    <xdr:to>
      <xdr:col>66</xdr:col>
      <xdr:colOff>419100</xdr:colOff>
      <xdr:row>50</xdr:row>
      <xdr:rowOff>95249</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47</xdr:col>
      <xdr:colOff>85725</xdr:colOff>
      <xdr:row>44</xdr:row>
      <xdr:rowOff>66675</xdr:rowOff>
    </xdr:from>
    <xdr:to>
      <xdr:col>57</xdr:col>
      <xdr:colOff>485775</xdr:colOff>
      <xdr:row>66</xdr:row>
      <xdr:rowOff>152400</xdr:rowOff>
    </xdr:to>
    <xdr:graphicFrame macro="">
      <xdr:nvGraphicFramePr>
        <xdr:cNvPr id="5347" name="Chart 5">
          <a:extLst>
            <a:ext uri="{FF2B5EF4-FFF2-40B4-BE49-F238E27FC236}">
              <a16:creationId xmlns:a16="http://schemas.microsoft.com/office/drawing/2014/main" id="{00000000-0008-0000-0300-0000E3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80010</xdr:colOff>
      <xdr:row>70</xdr:row>
      <xdr:rowOff>160020</xdr:rowOff>
    </xdr:from>
    <xdr:to>
      <xdr:col>57</xdr:col>
      <xdr:colOff>461010</xdr:colOff>
      <xdr:row>93</xdr:row>
      <xdr:rowOff>89535</xdr:rowOff>
    </xdr:to>
    <xdr:graphicFrame macro="">
      <xdr:nvGraphicFramePr>
        <xdr:cNvPr id="5348" name="Chart 6">
          <a:extLst>
            <a:ext uri="{FF2B5EF4-FFF2-40B4-BE49-F238E27FC236}">
              <a16:creationId xmlns:a16="http://schemas.microsoft.com/office/drawing/2014/main" id="{00000000-0008-0000-0300-0000E4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46</xdr:col>
      <xdr:colOff>438150</xdr:colOff>
      <xdr:row>97</xdr:row>
      <xdr:rowOff>123825</xdr:rowOff>
    </xdr:from>
    <xdr:to>
      <xdr:col>57</xdr:col>
      <xdr:colOff>228600</xdr:colOff>
      <xdr:row>120</xdr:row>
      <xdr:rowOff>47625</xdr:rowOff>
    </xdr:to>
    <xdr:graphicFrame macro="">
      <xdr:nvGraphicFramePr>
        <xdr:cNvPr id="5349" name="Chart 7">
          <a:extLst>
            <a:ext uri="{FF2B5EF4-FFF2-40B4-BE49-F238E27FC236}">
              <a16:creationId xmlns:a16="http://schemas.microsoft.com/office/drawing/2014/main" id="{00000000-0008-0000-0300-0000E5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514350</xdr:colOff>
      <xdr:row>123</xdr:row>
      <xdr:rowOff>9525</xdr:rowOff>
    </xdr:from>
    <xdr:to>
      <xdr:col>57</xdr:col>
      <xdr:colOff>304800</xdr:colOff>
      <xdr:row>145</xdr:row>
      <xdr:rowOff>95250</xdr:rowOff>
    </xdr:to>
    <xdr:graphicFrame macro="">
      <xdr:nvGraphicFramePr>
        <xdr:cNvPr id="5350" name="Chart 9">
          <a:extLst>
            <a:ext uri="{FF2B5EF4-FFF2-40B4-BE49-F238E27FC236}">
              <a16:creationId xmlns:a16="http://schemas.microsoft.com/office/drawing/2014/main" id="{00000000-0008-0000-0300-0000E6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46</xdr:col>
      <xdr:colOff>352425</xdr:colOff>
      <xdr:row>149</xdr:row>
      <xdr:rowOff>104775</xdr:rowOff>
    </xdr:from>
    <xdr:to>
      <xdr:col>57</xdr:col>
      <xdr:colOff>142875</xdr:colOff>
      <xdr:row>172</xdr:row>
      <xdr:rowOff>28575</xdr:rowOff>
    </xdr:to>
    <xdr:graphicFrame macro="">
      <xdr:nvGraphicFramePr>
        <xdr:cNvPr id="5351" name="Chart 10">
          <a:extLst>
            <a:ext uri="{FF2B5EF4-FFF2-40B4-BE49-F238E27FC236}">
              <a16:creationId xmlns:a16="http://schemas.microsoft.com/office/drawing/2014/main" id="{00000000-0008-0000-0300-0000E7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40</xdr:col>
      <xdr:colOff>114300</xdr:colOff>
      <xdr:row>47</xdr:row>
      <xdr:rowOff>57150</xdr:rowOff>
    </xdr:from>
    <xdr:to>
      <xdr:col>49</xdr:col>
      <xdr:colOff>514350</xdr:colOff>
      <xdr:row>69</xdr:row>
      <xdr:rowOff>142875</xdr:rowOff>
    </xdr:to>
    <xdr:graphicFrame macro="">
      <xdr:nvGraphicFramePr>
        <xdr:cNvPr id="7655" name="Chart 1">
          <a:extLst>
            <a:ext uri="{FF2B5EF4-FFF2-40B4-BE49-F238E27FC236}">
              <a16:creationId xmlns:a16="http://schemas.microsoft.com/office/drawing/2014/main" id="{00000000-0008-0000-0400-0000E7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40</xdr:col>
      <xdr:colOff>47625</xdr:colOff>
      <xdr:row>72</xdr:row>
      <xdr:rowOff>0</xdr:rowOff>
    </xdr:from>
    <xdr:to>
      <xdr:col>49</xdr:col>
      <xdr:colOff>447675</xdr:colOff>
      <xdr:row>94</xdr:row>
      <xdr:rowOff>85725</xdr:rowOff>
    </xdr:to>
    <xdr:graphicFrame macro="">
      <xdr:nvGraphicFramePr>
        <xdr:cNvPr id="7656" name="Chart 2">
          <a:extLst>
            <a:ext uri="{FF2B5EF4-FFF2-40B4-BE49-F238E27FC236}">
              <a16:creationId xmlns:a16="http://schemas.microsoft.com/office/drawing/2014/main" id="{00000000-0008-0000-0400-0000E8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85725</xdr:colOff>
      <xdr:row>98</xdr:row>
      <xdr:rowOff>152400</xdr:rowOff>
    </xdr:from>
    <xdr:to>
      <xdr:col>49</xdr:col>
      <xdr:colOff>485775</xdr:colOff>
      <xdr:row>121</xdr:row>
      <xdr:rowOff>76200</xdr:rowOff>
    </xdr:to>
    <xdr:graphicFrame macro="">
      <xdr:nvGraphicFramePr>
        <xdr:cNvPr id="7657" name="Chart 3">
          <a:extLst>
            <a:ext uri="{FF2B5EF4-FFF2-40B4-BE49-F238E27FC236}">
              <a16:creationId xmlns:a16="http://schemas.microsoft.com/office/drawing/2014/main" id="{00000000-0008-0000-0400-0000E9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19050</xdr:colOff>
      <xdr:row>123</xdr:row>
      <xdr:rowOff>114300</xdr:rowOff>
    </xdr:from>
    <xdr:to>
      <xdr:col>49</xdr:col>
      <xdr:colOff>419100</xdr:colOff>
      <xdr:row>146</xdr:row>
      <xdr:rowOff>38100</xdr:rowOff>
    </xdr:to>
    <xdr:graphicFrame macro="">
      <xdr:nvGraphicFramePr>
        <xdr:cNvPr id="7658" name="Chart 4">
          <a:extLst>
            <a:ext uri="{FF2B5EF4-FFF2-40B4-BE49-F238E27FC236}">
              <a16:creationId xmlns:a16="http://schemas.microsoft.com/office/drawing/2014/main" id="{00000000-0008-0000-0400-0000EA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40</xdr:col>
      <xdr:colOff>19050</xdr:colOff>
      <xdr:row>149</xdr:row>
      <xdr:rowOff>76200</xdr:rowOff>
    </xdr:from>
    <xdr:to>
      <xdr:col>49</xdr:col>
      <xdr:colOff>419100</xdr:colOff>
      <xdr:row>172</xdr:row>
      <xdr:rowOff>0</xdr:rowOff>
    </xdr:to>
    <xdr:graphicFrame macro="">
      <xdr:nvGraphicFramePr>
        <xdr:cNvPr id="7659" name="Chart 5">
          <a:extLst>
            <a:ext uri="{FF2B5EF4-FFF2-40B4-BE49-F238E27FC236}">
              <a16:creationId xmlns:a16="http://schemas.microsoft.com/office/drawing/2014/main" id="{00000000-0008-0000-0400-0000EB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50</xdr:col>
      <xdr:colOff>133350</xdr:colOff>
      <xdr:row>47</xdr:row>
      <xdr:rowOff>104775</xdr:rowOff>
    </xdr:from>
    <xdr:to>
      <xdr:col>59</xdr:col>
      <xdr:colOff>542925</xdr:colOff>
      <xdr:row>70</xdr:row>
      <xdr:rowOff>38100</xdr:rowOff>
    </xdr:to>
    <xdr:graphicFrame macro="">
      <xdr:nvGraphicFramePr>
        <xdr:cNvPr id="7660" name="Chart 7">
          <a:extLst>
            <a:ext uri="{FF2B5EF4-FFF2-40B4-BE49-F238E27FC236}">
              <a16:creationId xmlns:a16="http://schemas.microsoft.com/office/drawing/2014/main" id="{00000000-0008-0000-0400-0000EC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50</xdr:col>
      <xdr:colOff>104775</xdr:colOff>
      <xdr:row>72</xdr:row>
      <xdr:rowOff>9525</xdr:rowOff>
    </xdr:from>
    <xdr:to>
      <xdr:col>59</xdr:col>
      <xdr:colOff>514350</xdr:colOff>
      <xdr:row>94</xdr:row>
      <xdr:rowOff>104775</xdr:rowOff>
    </xdr:to>
    <xdr:graphicFrame macro="">
      <xdr:nvGraphicFramePr>
        <xdr:cNvPr id="7661" name="Chart 8">
          <a:extLst>
            <a:ext uri="{FF2B5EF4-FFF2-40B4-BE49-F238E27FC236}">
              <a16:creationId xmlns:a16="http://schemas.microsoft.com/office/drawing/2014/main" id="{00000000-0008-0000-0400-0000ED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67</xdr:col>
      <xdr:colOff>314326</xdr:colOff>
      <xdr:row>34</xdr:row>
      <xdr:rowOff>142875</xdr:rowOff>
    </xdr:from>
    <xdr:to>
      <xdr:col>76</xdr:col>
      <xdr:colOff>180976</xdr:colOff>
      <xdr:row>57</xdr:row>
      <xdr:rowOff>66675</xdr:rowOff>
    </xdr:to>
    <xdr:graphicFrame macro="">
      <xdr:nvGraphicFramePr>
        <xdr:cNvPr id="7662" name="Chart 10">
          <a:extLst>
            <a:ext uri="{FF2B5EF4-FFF2-40B4-BE49-F238E27FC236}">
              <a16:creationId xmlns:a16="http://schemas.microsoft.com/office/drawing/2014/main" id="{00000000-0008-0000-0400-0000EE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50</xdr:col>
      <xdr:colOff>47625</xdr:colOff>
      <xdr:row>98</xdr:row>
      <xdr:rowOff>28575</xdr:rowOff>
    </xdr:from>
    <xdr:to>
      <xdr:col>59</xdr:col>
      <xdr:colOff>457200</xdr:colOff>
      <xdr:row>120</xdr:row>
      <xdr:rowOff>123825</xdr:rowOff>
    </xdr:to>
    <xdr:graphicFrame macro="">
      <xdr:nvGraphicFramePr>
        <xdr:cNvPr id="7663" name="Chart 11">
          <a:extLst>
            <a:ext uri="{FF2B5EF4-FFF2-40B4-BE49-F238E27FC236}">
              <a16:creationId xmlns:a16="http://schemas.microsoft.com/office/drawing/2014/main" id="{00000000-0008-0000-0400-0000EF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581025</xdr:colOff>
      <xdr:row>123</xdr:row>
      <xdr:rowOff>123825</xdr:rowOff>
    </xdr:from>
    <xdr:to>
      <xdr:col>59</xdr:col>
      <xdr:colOff>381000</xdr:colOff>
      <xdr:row>146</xdr:row>
      <xdr:rowOff>57150</xdr:rowOff>
    </xdr:to>
    <xdr:graphicFrame macro="">
      <xdr:nvGraphicFramePr>
        <xdr:cNvPr id="7664" name="Chart 12">
          <a:extLst>
            <a:ext uri="{FF2B5EF4-FFF2-40B4-BE49-F238E27FC236}">
              <a16:creationId xmlns:a16="http://schemas.microsoft.com/office/drawing/2014/main" id="{00000000-0008-0000-0400-0000F0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117</xdr:col>
      <xdr:colOff>590550</xdr:colOff>
      <xdr:row>34</xdr:row>
      <xdr:rowOff>114300</xdr:rowOff>
    </xdr:from>
    <xdr:to>
      <xdr:col>126</xdr:col>
      <xdr:colOff>9525</xdr:colOff>
      <xdr:row>57</xdr:row>
      <xdr:rowOff>38100</xdr:rowOff>
    </xdr:to>
    <xdr:graphicFrame macro="">
      <xdr:nvGraphicFramePr>
        <xdr:cNvPr id="7665" name="Chart 13">
          <a:extLst>
            <a:ext uri="{FF2B5EF4-FFF2-40B4-BE49-F238E27FC236}">
              <a16:creationId xmlns:a16="http://schemas.microsoft.com/office/drawing/2014/main" id="{00000000-0008-0000-0400-0000F11D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55</xdr:col>
      <xdr:colOff>381000</xdr:colOff>
      <xdr:row>50</xdr:row>
      <xdr:rowOff>47624</xdr:rowOff>
    </xdr:from>
    <xdr:to>
      <xdr:col>64</xdr:col>
      <xdr:colOff>419100</xdr:colOff>
      <xdr:row>71</xdr:row>
      <xdr:rowOff>123824</xdr:rowOff>
    </xdr:to>
    <xdr:graphicFrame macro="">
      <xdr:nvGraphicFramePr>
        <xdr:cNvPr id="2" name="Chart 2">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55</xdr:col>
      <xdr:colOff>400050</xdr:colOff>
      <xdr:row>28</xdr:row>
      <xdr:rowOff>19050</xdr:rowOff>
    </xdr:from>
    <xdr:to>
      <xdr:col>64</xdr:col>
      <xdr:colOff>276226</xdr:colOff>
      <xdr:row>46</xdr:row>
      <xdr:rowOff>85725</xdr:rowOff>
    </xdr:to>
    <xdr:graphicFrame macro="">
      <xdr:nvGraphicFramePr>
        <xdr:cNvPr id="3" name="Chart 6">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55</xdr:col>
      <xdr:colOff>361950</xdr:colOff>
      <xdr:row>73</xdr:row>
      <xdr:rowOff>76201</xdr:rowOff>
    </xdr:from>
    <xdr:to>
      <xdr:col>66</xdr:col>
      <xdr:colOff>304799</xdr:colOff>
      <xdr:row>90</xdr:row>
      <xdr:rowOff>133350</xdr:rowOff>
    </xdr:to>
    <xdr:graphicFrame macro="">
      <xdr:nvGraphicFramePr>
        <xdr:cNvPr id="4" name="Chart 8">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55</xdr:col>
      <xdr:colOff>123826</xdr:colOff>
      <xdr:row>93</xdr:row>
      <xdr:rowOff>85725</xdr:rowOff>
    </xdr:from>
    <xdr:to>
      <xdr:col>65</xdr:col>
      <xdr:colOff>447676</xdr:colOff>
      <xdr:row>113</xdr:row>
      <xdr:rowOff>47625</xdr:rowOff>
    </xdr:to>
    <xdr:graphicFrame macro="">
      <xdr:nvGraphicFramePr>
        <xdr:cNvPr id="5" name="Chart 9">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54</xdr:col>
      <xdr:colOff>9525</xdr:colOff>
      <xdr:row>115</xdr:row>
      <xdr:rowOff>57150</xdr:rowOff>
    </xdr:from>
    <xdr:to>
      <xdr:col>64</xdr:col>
      <xdr:colOff>600075</xdr:colOff>
      <xdr:row>139</xdr:row>
      <xdr:rowOff>38100</xdr:rowOff>
    </xdr:to>
    <xdr:graphicFrame macro="">
      <xdr:nvGraphicFramePr>
        <xdr:cNvPr id="6" name="Chart 10">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92</xdr:col>
      <xdr:colOff>525779</xdr:colOff>
      <xdr:row>12</xdr:row>
      <xdr:rowOff>14286</xdr:rowOff>
    </xdr:from>
    <xdr:to>
      <xdr:col>104</xdr:col>
      <xdr:colOff>116204</xdr:colOff>
      <xdr:row>35</xdr:row>
      <xdr:rowOff>148589</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142875</xdr:colOff>
      <xdr:row>188</xdr:row>
      <xdr:rowOff>57150</xdr:rowOff>
    </xdr:from>
    <xdr:to>
      <xdr:col>21</xdr:col>
      <xdr:colOff>352425</xdr:colOff>
      <xdr:row>210</xdr:row>
      <xdr:rowOff>133350</xdr:rowOff>
    </xdr:to>
    <xdr:graphicFrame macro="">
      <xdr:nvGraphicFramePr>
        <xdr:cNvPr id="4317" name="Chart 1">
          <a:extLst>
            <a:ext uri="{FF2B5EF4-FFF2-40B4-BE49-F238E27FC236}">
              <a16:creationId xmlns:a16="http://schemas.microsoft.com/office/drawing/2014/main" id="{00000000-0008-0000-0600-0000DD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133350</xdr:colOff>
      <xdr:row>213</xdr:row>
      <xdr:rowOff>28575</xdr:rowOff>
    </xdr:from>
    <xdr:to>
      <xdr:col>21</xdr:col>
      <xdr:colOff>342900</xdr:colOff>
      <xdr:row>235</xdr:row>
      <xdr:rowOff>114300</xdr:rowOff>
    </xdr:to>
    <xdr:graphicFrame macro="">
      <xdr:nvGraphicFramePr>
        <xdr:cNvPr id="4318" name="Chart 2">
          <a:extLst>
            <a:ext uri="{FF2B5EF4-FFF2-40B4-BE49-F238E27FC236}">
              <a16:creationId xmlns:a16="http://schemas.microsoft.com/office/drawing/2014/main" id="{00000000-0008-0000-0600-0000DE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190500</xdr:colOff>
      <xdr:row>238</xdr:row>
      <xdr:rowOff>76200</xdr:rowOff>
    </xdr:from>
    <xdr:to>
      <xdr:col>21</xdr:col>
      <xdr:colOff>400050</xdr:colOff>
      <xdr:row>261</xdr:row>
      <xdr:rowOff>0</xdr:rowOff>
    </xdr:to>
    <xdr:graphicFrame macro="">
      <xdr:nvGraphicFramePr>
        <xdr:cNvPr id="4319" name="Chart 3">
          <a:extLst>
            <a:ext uri="{FF2B5EF4-FFF2-40B4-BE49-F238E27FC236}">
              <a16:creationId xmlns:a16="http://schemas.microsoft.com/office/drawing/2014/main" id="{00000000-0008-0000-0600-0000DF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180975</xdr:colOff>
      <xdr:row>263</xdr:row>
      <xdr:rowOff>66675</xdr:rowOff>
    </xdr:from>
    <xdr:to>
      <xdr:col>21</xdr:col>
      <xdr:colOff>390525</xdr:colOff>
      <xdr:row>285</xdr:row>
      <xdr:rowOff>152400</xdr:rowOff>
    </xdr:to>
    <xdr:graphicFrame macro="">
      <xdr:nvGraphicFramePr>
        <xdr:cNvPr id="4320" name="Chart 4">
          <a:extLst>
            <a:ext uri="{FF2B5EF4-FFF2-40B4-BE49-F238E27FC236}">
              <a16:creationId xmlns:a16="http://schemas.microsoft.com/office/drawing/2014/main" id="{00000000-0008-0000-0600-0000E0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152400</xdr:colOff>
      <xdr:row>288</xdr:row>
      <xdr:rowOff>66675</xdr:rowOff>
    </xdr:from>
    <xdr:to>
      <xdr:col>21</xdr:col>
      <xdr:colOff>361950</xdr:colOff>
      <xdr:row>310</xdr:row>
      <xdr:rowOff>152400</xdr:rowOff>
    </xdr:to>
    <xdr:graphicFrame macro="">
      <xdr:nvGraphicFramePr>
        <xdr:cNvPr id="4321" name="Chart 5">
          <a:extLst>
            <a:ext uri="{FF2B5EF4-FFF2-40B4-BE49-F238E27FC236}">
              <a16:creationId xmlns:a16="http://schemas.microsoft.com/office/drawing/2014/main" id="{00000000-0008-0000-0600-0000E1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142875</xdr:colOff>
      <xdr:row>241</xdr:row>
      <xdr:rowOff>57150</xdr:rowOff>
    </xdr:from>
    <xdr:to>
      <xdr:col>23</xdr:col>
      <xdr:colOff>352425</xdr:colOff>
      <xdr:row>263</xdr:row>
      <xdr:rowOff>133350</xdr:rowOff>
    </xdr:to>
    <xdr:graphicFrame macro="">
      <xdr:nvGraphicFramePr>
        <xdr:cNvPr id="3293" name="Chart 1">
          <a:extLst>
            <a:ext uri="{FF2B5EF4-FFF2-40B4-BE49-F238E27FC236}">
              <a16:creationId xmlns:a16="http://schemas.microsoft.com/office/drawing/2014/main" id="{00000000-0008-0000-0D00-0000DD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133350</xdr:colOff>
      <xdr:row>266</xdr:row>
      <xdr:rowOff>28575</xdr:rowOff>
    </xdr:from>
    <xdr:to>
      <xdr:col>23</xdr:col>
      <xdr:colOff>342900</xdr:colOff>
      <xdr:row>288</xdr:row>
      <xdr:rowOff>114300</xdr:rowOff>
    </xdr:to>
    <xdr:graphicFrame macro="">
      <xdr:nvGraphicFramePr>
        <xdr:cNvPr id="3294" name="Chart 2">
          <a:extLst>
            <a:ext uri="{FF2B5EF4-FFF2-40B4-BE49-F238E27FC236}">
              <a16:creationId xmlns:a16="http://schemas.microsoft.com/office/drawing/2014/main" id="{00000000-0008-0000-0D00-0000DE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190500</xdr:colOff>
      <xdr:row>291</xdr:row>
      <xdr:rowOff>76200</xdr:rowOff>
    </xdr:from>
    <xdr:to>
      <xdr:col>23</xdr:col>
      <xdr:colOff>400050</xdr:colOff>
      <xdr:row>314</xdr:row>
      <xdr:rowOff>0</xdr:rowOff>
    </xdr:to>
    <xdr:graphicFrame macro="">
      <xdr:nvGraphicFramePr>
        <xdr:cNvPr id="3295" name="Chart 3">
          <a:extLst>
            <a:ext uri="{FF2B5EF4-FFF2-40B4-BE49-F238E27FC236}">
              <a16:creationId xmlns:a16="http://schemas.microsoft.com/office/drawing/2014/main" id="{00000000-0008-0000-0D00-0000DF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180975</xdr:colOff>
      <xdr:row>316</xdr:row>
      <xdr:rowOff>66675</xdr:rowOff>
    </xdr:from>
    <xdr:to>
      <xdr:col>23</xdr:col>
      <xdr:colOff>390525</xdr:colOff>
      <xdr:row>338</xdr:row>
      <xdr:rowOff>152400</xdr:rowOff>
    </xdr:to>
    <xdr:graphicFrame macro="">
      <xdr:nvGraphicFramePr>
        <xdr:cNvPr id="3296" name="Chart 4">
          <a:extLst>
            <a:ext uri="{FF2B5EF4-FFF2-40B4-BE49-F238E27FC236}">
              <a16:creationId xmlns:a16="http://schemas.microsoft.com/office/drawing/2014/main" id="{00000000-0008-0000-0D00-0000E0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152400</xdr:colOff>
      <xdr:row>341</xdr:row>
      <xdr:rowOff>66675</xdr:rowOff>
    </xdr:from>
    <xdr:to>
      <xdr:col>23</xdr:col>
      <xdr:colOff>361950</xdr:colOff>
      <xdr:row>363</xdr:row>
      <xdr:rowOff>152400</xdr:rowOff>
    </xdr:to>
    <xdr:graphicFrame macro="">
      <xdr:nvGraphicFramePr>
        <xdr:cNvPr id="3297" name="Chart 5">
          <a:extLst>
            <a:ext uri="{FF2B5EF4-FFF2-40B4-BE49-F238E27FC236}">
              <a16:creationId xmlns:a16="http://schemas.microsoft.com/office/drawing/2014/main" id="{00000000-0008-0000-0D00-0000E1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Residential%20Floor%20Space\AHS\AHS_summary_results_1208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industrial_indicators_101613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Documents%20and%20Settings\d3g086\My%20Documents\OIT\MECS98\98MEC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Residential%20Floor%20Space\startsal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SMdata_0102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ASMT4_201012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S_tables"/>
      <sheetName val="Final Floorspace Estimates"/>
      <sheetName val="Wgted_Floorspace"/>
      <sheetName val="RECS_intensity_data"/>
      <sheetName val="Stock_85to95"/>
      <sheetName val="Compare_PWT"/>
      <sheetName val="Time_series"/>
      <sheetName val="Survival_curve"/>
      <sheetName val="Survival_curve_MF"/>
      <sheetName val="Survival_curve_MH"/>
      <sheetName val="Total_stock"/>
      <sheetName val="Total_stock_SF"/>
      <sheetName val="Total_stock_MF"/>
      <sheetName val="Total_stock_MH"/>
      <sheetName val="mhstabplcmnt"/>
      <sheetName val="Sheet4"/>
      <sheetName val="Comps Ann"/>
      <sheetName val="SFTotalMedAvgSqFt"/>
      <sheetName val="Compare_size"/>
      <sheetName val="Compare_FS"/>
      <sheetName val="RECS_4_adj"/>
      <sheetName val="Estimate"/>
      <sheetName val="RECS_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ctory"/>
      <sheetName val="General_inputs"/>
      <sheetName val="Industrial_Total_II"/>
      <sheetName val="Total_Industrial"/>
      <sheetName val="Manufacturing"/>
      <sheetName val="NonManufacturing"/>
      <sheetName val="NonManufacturing_pre2012"/>
      <sheetName val="Report_chart"/>
      <sheetName val="Report_tables"/>
      <sheetName val="Charts (www)"/>
      <sheetName val="Manufacturing_Energy_Data"/>
      <sheetName val="AER08_Table2.1d"/>
      <sheetName val="AER09_Table2.1d"/>
      <sheetName val="AER10_Table2.1d"/>
      <sheetName val="AER11_Table2.1d_MER0913"/>
      <sheetName val="GDP_Data"/>
      <sheetName val="Conversion_factors"/>
      <sheetName val="BEA_Output_Data"/>
      <sheetName val="Mfg Gross Output"/>
      <sheetName val="Mfg Value Added"/>
      <sheetName val="Gross Output over VA"/>
      <sheetName val="NAICS Sector VA over Manufac VA"/>
      <sheetName val="Mfg Shipments (6)"/>
      <sheetName val="Electric Energy (6)"/>
      <sheetName val="Fuel Energy (6)"/>
      <sheetName val="Pulp&amp;Paper"/>
    </sheetNames>
    <sheetDataSet>
      <sheetData sheetId="0" refreshError="1"/>
      <sheetData sheetId="1" refreshError="1">
        <row r="6">
          <cell r="F6">
            <v>1985</v>
          </cell>
          <cell r="L6" t="str">
            <v>1985 = 1</v>
          </cell>
          <cell r="O6">
            <v>37</v>
          </cell>
        </row>
        <row r="7">
          <cell r="F7">
            <v>1996</v>
          </cell>
          <cell r="L7" t="str">
            <v>1996 = 1</v>
          </cell>
          <cell r="O7">
            <v>48</v>
          </cell>
        </row>
        <row r="20">
          <cell r="F20">
            <v>1985</v>
          </cell>
        </row>
        <row r="21">
          <cell r="F21">
            <v>2010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 val="Fuel"/>
      <sheetName val="1stUse"/>
      <sheetName val="Byprod"/>
      <sheetName val="EndUse"/>
      <sheetName val="Intensity"/>
      <sheetName val="Exp"/>
      <sheetName val="E_EGS"/>
      <sheetName val="Price"/>
      <sheetName val="NonFuel"/>
      <sheetName val="Offsite"/>
      <sheetName val="onsite"/>
      <sheetName val="sales"/>
      <sheetName val="elecdema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sheetName val="StartsAnn Percent Change"/>
      <sheetName val="StartsUA "/>
      <sheetName val="StartsUA Prelim"/>
      <sheetName val="StartsUA First"/>
      <sheetName val="StartsUA Second"/>
      <sheetName val="StartsSA  "/>
      <sheetName val="StartsSA Percent Change"/>
      <sheetName val="ST -Curr to Year ago % Change "/>
      <sheetName val="StartsSA  Prelim"/>
      <sheetName val="StartsSA First"/>
      <sheetName val="StartsSA Second"/>
      <sheetName val="Starts Seas Fa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Few Notes"/>
      <sheetName val="ASM_DB"/>
      <sheetName val="ELECTRICITY"/>
      <sheetName val="PURCHASED FUEL"/>
      <sheetName val="Distillate"/>
      <sheetName val="Resid"/>
      <sheetName val="Prices"/>
      <sheetName val="AER_11_Table3.4"/>
      <sheetName val="3DNAICS"/>
      <sheetName val="Original_MECS (110910)"/>
      <sheetName val="Pivot_table-(not used)"/>
      <sheetName val="Quantity_shares"/>
      <sheetName val="Quantity_shares_revised"/>
      <sheetName val="Expenditure_ratios (NOT USED)"/>
      <sheetName val="Expenditure_ratios_revised"/>
      <sheetName val="Expend_ratios_revised_1985-97"/>
      <sheetName val="Final_quant._elec_w_ASM_87"/>
      <sheetName val="Final_quantities_w_ASM_85"/>
      <sheetName val="Final_quantities-NOT USED"/>
      <sheetName val="BTU charts"/>
      <sheetName val="Chart6"/>
      <sheetName val="Asmt4"/>
      <sheetName val="Lookups"/>
      <sheetName val="3Digit"/>
      <sheetName val="313&amp;314"/>
      <sheetName val="334fix"/>
      <sheetName val="336fix"/>
      <sheetName val="339fix"/>
      <sheetName val="AERTable6.8"/>
      <sheetName val="Chart9"/>
      <sheetName val="Chart10"/>
      <sheetName val="Chart11"/>
      <sheetName val="Chart12"/>
      <sheetName val="Chart13"/>
      <sheetName val="Chart14"/>
      <sheetName val="Chart15"/>
      <sheetName val="Chart16"/>
      <sheetName val="Chart17"/>
      <sheetName val="Chart18"/>
      <sheetName val="Chart19"/>
      <sheetName val="Chart20"/>
      <sheetName val="Chart21"/>
      <sheetName val="Chart22"/>
    </sheetNames>
    <sheetDataSet>
      <sheetData sheetId="0"/>
      <sheetData sheetId="1"/>
      <sheetData sheetId="2"/>
      <sheetData sheetId="3"/>
      <sheetData sheetId="4"/>
      <sheetData sheetId="5"/>
      <sheetData sheetId="6"/>
      <sheetData sheetId="7"/>
      <sheetData sheetId="8">
        <row r="486">
          <cell r="AX486">
            <v>4783</v>
          </cell>
        </row>
      </sheetData>
      <sheetData sheetId="9"/>
      <sheetData sheetId="10"/>
      <sheetData sheetId="11"/>
      <sheetData sheetId="12"/>
      <sheetData sheetId="13"/>
      <sheetData sheetId="14"/>
      <sheetData sheetId="15"/>
      <sheetData sheetId="16">
        <row r="95">
          <cell r="CB95">
            <v>175.94285079999997</v>
          </cell>
          <cell r="CC95">
            <v>180.49855319999998</v>
          </cell>
          <cell r="CD95">
            <v>181.92203960000001</v>
          </cell>
          <cell r="CE95">
            <v>183.31550040000002</v>
          </cell>
          <cell r="CF95">
            <v>188.50788200000002</v>
          </cell>
          <cell r="CG95">
            <v>195.81126800000001</v>
          </cell>
          <cell r="CH95">
            <v>202.10436079999999</v>
          </cell>
          <cell r="CI95">
            <v>206.38096160000001</v>
          </cell>
          <cell r="CJ95">
            <v>215.29992960000001</v>
          </cell>
          <cell r="CK95">
            <v>223.774314</v>
          </cell>
          <cell r="CL95">
            <v>232.942692376</v>
          </cell>
          <cell r="CM95">
            <v>237.41109875599997</v>
          </cell>
          <cell r="CN95">
            <v>233.76357863199999</v>
          </cell>
          <cell r="CO95">
            <v>248.33018456799999</v>
          </cell>
          <cell r="CP95">
            <v>266.44860061600002</v>
          </cell>
          <cell r="CQ95">
            <v>257.77662047199999</v>
          </cell>
          <cell r="CR95">
            <v>255.32842858399999</v>
          </cell>
          <cell r="CS95">
            <v>287.10198594799999</v>
          </cell>
          <cell r="CT95">
            <v>300.75193419999994</v>
          </cell>
          <cell r="CU95">
            <v>301.63248268799998</v>
          </cell>
          <cell r="CV95">
            <v>307.48225773999997</v>
          </cell>
          <cell r="CW95">
            <v>334.69119032399999</v>
          </cell>
          <cell r="CX95">
            <v>313.91500369999994</v>
          </cell>
          <cell r="CY95">
            <v>321.26902378</v>
          </cell>
          <cell r="CZ95">
            <v>340.83685742799997</v>
          </cell>
          <cell r="DA95">
            <v>299.93102747199998</v>
          </cell>
          <cell r="DB95">
            <v>290.75231755999999</v>
          </cell>
          <cell r="DC95">
            <v>293.20092571200001</v>
          </cell>
          <cell r="DD95">
            <v>280.58946742799998</v>
          </cell>
          <cell r="DE95">
            <v>285.16332166799998</v>
          </cell>
          <cell r="DF95">
            <v>281.55283880399998</v>
          </cell>
        </row>
        <row r="96">
          <cell r="CB96">
            <v>100.9068292</v>
          </cell>
          <cell r="CC96">
            <v>101.7052372</v>
          </cell>
          <cell r="CD96">
            <v>103.4306856</v>
          </cell>
          <cell r="CE96">
            <v>99.811577199999988</v>
          </cell>
          <cell r="CF96">
            <v>101.02556680000001</v>
          </cell>
          <cell r="CG96">
            <v>106.6154464</v>
          </cell>
          <cell r="CH96">
            <v>111.71092719999999</v>
          </cell>
          <cell r="CI96">
            <v>117.0374004</v>
          </cell>
          <cell r="CJ96">
            <v>118.22307040000001</v>
          </cell>
          <cell r="CK96">
            <v>115.34846039999999</v>
          </cell>
          <cell r="CL96">
            <v>113.555870664</v>
          </cell>
          <cell r="CM96">
            <v>115.50939079199999</v>
          </cell>
          <cell r="CN96">
            <v>114.812943588</v>
          </cell>
          <cell r="CO96">
            <v>107.995607224</v>
          </cell>
          <cell r="CP96">
            <v>102.389694636</v>
          </cell>
          <cell r="CQ96">
            <v>97.014695971999998</v>
          </cell>
          <cell r="CR96">
            <v>95.164583328000006</v>
          </cell>
          <cell r="CS96">
            <v>94.700360255999996</v>
          </cell>
          <cell r="CT96">
            <v>92.424099048000002</v>
          </cell>
          <cell r="CU96">
            <v>79.236968124000001</v>
          </cell>
          <cell r="CV96">
            <v>68.415711176000002</v>
          </cell>
          <cell r="CW96">
            <v>63.298574411999994</v>
          </cell>
          <cell r="CX96">
            <v>50.465271299999998</v>
          </cell>
          <cell r="CY96">
            <v>52.214992668000008</v>
          </cell>
          <cell r="CZ96">
            <v>54.125074623999993</v>
          </cell>
          <cell r="DA96">
            <v>49.364757995999994</v>
          </cell>
          <cell r="DB96">
            <v>50.116087219999997</v>
          </cell>
          <cell r="DC96">
            <v>50.308401187999998</v>
          </cell>
          <cell r="DD96">
            <v>47.022597420000004</v>
          </cell>
          <cell r="DE96">
            <v>44.523338128000006</v>
          </cell>
          <cell r="DF96">
            <v>41.625352516</v>
          </cell>
        </row>
        <row r="97">
          <cell r="CB97">
            <v>26.0826928</v>
          </cell>
          <cell r="CC97">
            <v>26.5088516</v>
          </cell>
          <cell r="CD97">
            <v>23.390624799999998</v>
          </cell>
          <cell r="CE97">
            <v>23.108793599999998</v>
          </cell>
          <cell r="CF97">
            <v>22.4250288</v>
          </cell>
          <cell r="CG97">
            <v>31.5483756</v>
          </cell>
          <cell r="CH97">
            <v>35.309764399999999</v>
          </cell>
          <cell r="CI97">
            <v>33.010758799999998</v>
          </cell>
          <cell r="CJ97">
            <v>34.404902</v>
          </cell>
          <cell r="CK97">
            <v>32.783178399999997</v>
          </cell>
          <cell r="CL97">
            <v>27.277875456</v>
          </cell>
          <cell r="CM97">
            <v>25.900034791999996</v>
          </cell>
          <cell r="CN97">
            <v>24.839243991999997</v>
          </cell>
          <cell r="CO97">
            <v>26.023051040000002</v>
          </cell>
          <cell r="CP97">
            <v>24.252731428000001</v>
          </cell>
          <cell r="CQ97">
            <v>13.151792839999999</v>
          </cell>
          <cell r="CR97">
            <v>12.522558623999998</v>
          </cell>
          <cell r="CS97">
            <v>15.189756556000001</v>
          </cell>
          <cell r="CT97">
            <v>14.870621959999999</v>
          </cell>
          <cell r="CU97">
            <v>13.064957439999999</v>
          </cell>
          <cell r="CV97">
            <v>8.8014314240000004</v>
          </cell>
          <cell r="CW97">
            <v>6.6801330200000004</v>
          </cell>
          <cell r="CX97">
            <v>4.7902023360000001</v>
          </cell>
          <cell r="CY97">
            <v>4.7583308439999996</v>
          </cell>
          <cell r="CZ97">
            <v>4.6839253599999999</v>
          </cell>
          <cell r="DA97">
            <v>3.672690448</v>
          </cell>
          <cell r="DB97">
            <v>3.8386603639999999</v>
          </cell>
          <cell r="DC97">
            <v>3.9326268440000001</v>
          </cell>
          <cell r="DD97">
            <v>3.7451988599999999</v>
          </cell>
          <cell r="DE97">
            <v>3.5861518919999993</v>
          </cell>
          <cell r="DF97">
            <v>3.2827670879999999</v>
          </cell>
        </row>
        <row r="98">
          <cell r="CB98">
            <v>63.95688686954545</v>
          </cell>
          <cell r="CC98">
            <v>66.472722126573842</v>
          </cell>
          <cell r="CD98">
            <v>65.138042120981652</v>
          </cell>
          <cell r="CE98">
            <v>65.158067088915033</v>
          </cell>
          <cell r="CF98">
            <v>63.49885546014837</v>
          </cell>
          <cell r="CG98">
            <v>60.602545812385564</v>
          </cell>
          <cell r="CH98">
            <v>66.275015300310841</v>
          </cell>
          <cell r="CI98">
            <v>68.881439697990274</v>
          </cell>
          <cell r="CJ98">
            <v>70.680508245656824</v>
          </cell>
          <cell r="CK98">
            <v>71.392824962144573</v>
          </cell>
          <cell r="CL98">
            <v>74.590970555999988</v>
          </cell>
          <cell r="CM98">
            <v>76.021762047999999</v>
          </cell>
          <cell r="CN98">
            <v>79.383206443999995</v>
          </cell>
          <cell r="CO98">
            <v>79.318323851999992</v>
          </cell>
          <cell r="CP98">
            <v>74.650090280000001</v>
          </cell>
          <cell r="CQ98">
            <v>74.759141212000003</v>
          </cell>
          <cell r="CR98">
            <v>78.270293932000001</v>
          </cell>
          <cell r="CS98">
            <v>90.253432415999995</v>
          </cell>
          <cell r="CT98">
            <v>95.464392355999991</v>
          </cell>
          <cell r="CU98">
            <v>96.462862975999997</v>
          </cell>
          <cell r="CV98">
            <v>85.215181091999995</v>
          </cell>
          <cell r="CW98">
            <v>78.449870903999994</v>
          </cell>
          <cell r="CX98">
            <v>63.432399876000005</v>
          </cell>
          <cell r="CY98">
            <v>67.583578967999998</v>
          </cell>
          <cell r="CZ98">
            <v>68.977261547999987</v>
          </cell>
          <cell r="DA98">
            <v>66.419227144000004</v>
          </cell>
          <cell r="DB98">
            <v>71.100699275999986</v>
          </cell>
          <cell r="DC98">
            <v>72.53285898</v>
          </cell>
          <cell r="DD98">
            <v>75.369298936000007</v>
          </cell>
          <cell r="DE98">
            <v>74.28565797200001</v>
          </cell>
          <cell r="DF98">
            <v>69.652974028000003</v>
          </cell>
        </row>
        <row r="99">
          <cell r="CB99">
            <v>194.48346030722433</v>
          </cell>
          <cell r="CC99">
            <v>197.55336384638781</v>
          </cell>
          <cell r="CD99">
            <v>203.60553441825095</v>
          </cell>
          <cell r="CE99">
            <v>215.91304783726235</v>
          </cell>
          <cell r="CF99">
            <v>219.58196495057035</v>
          </cell>
          <cell r="CG99">
            <v>222.69125568365018</v>
          </cell>
          <cell r="CH99">
            <v>231.05282872547528</v>
          </cell>
          <cell r="CI99">
            <v>236.49778005779467</v>
          </cell>
          <cell r="CJ99">
            <v>243.108920556654</v>
          </cell>
          <cell r="CK99">
            <v>239.95958617642583</v>
          </cell>
          <cell r="CL99">
            <v>239.01765260400001</v>
          </cell>
          <cell r="CM99">
            <v>247.72932454400001</v>
          </cell>
          <cell r="CN99">
            <v>241.930821616</v>
          </cell>
          <cell r="CO99">
            <v>251.9243376</v>
          </cell>
          <cell r="CP99">
            <v>247.14786856399999</v>
          </cell>
          <cell r="CQ99">
            <v>243.73968318000001</v>
          </cell>
          <cell r="CR99">
            <v>244.92814419599998</v>
          </cell>
          <cell r="CS99">
            <v>252.8525722</v>
          </cell>
          <cell r="CT99">
            <v>256.52020947599999</v>
          </cell>
          <cell r="CU99">
            <v>245.509183912</v>
          </cell>
          <cell r="CV99">
            <v>252.53347172400001</v>
          </cell>
          <cell r="CW99">
            <v>231.50060375200002</v>
          </cell>
          <cell r="CX99">
            <v>221.86882800799998</v>
          </cell>
          <cell r="CY99">
            <v>229.32690385199999</v>
          </cell>
          <cell r="CZ99">
            <v>228.31483299999999</v>
          </cell>
          <cell r="DA99">
            <v>220.31695828400001</v>
          </cell>
          <cell r="DB99">
            <v>206.06780824000001</v>
          </cell>
          <cell r="DC99">
            <v>204.47927316400001</v>
          </cell>
          <cell r="DD99">
            <v>209.27767453599998</v>
          </cell>
          <cell r="DE99">
            <v>207.62067768</v>
          </cell>
          <cell r="DF99">
            <v>193.77859288400001</v>
          </cell>
        </row>
        <row r="100">
          <cell r="CB100">
            <v>38.574928279933708</v>
          </cell>
          <cell r="CC100">
            <v>41.228554572525958</v>
          </cell>
          <cell r="CD100">
            <v>40.860254194455955</v>
          </cell>
          <cell r="CE100">
            <v>42.559536231756297</v>
          </cell>
          <cell r="CF100">
            <v>41.919301686389602</v>
          </cell>
          <cell r="CG100">
            <v>42.442327456311915</v>
          </cell>
          <cell r="CH100">
            <v>44.795820817640724</v>
          </cell>
          <cell r="CI100">
            <v>45.355872790684593</v>
          </cell>
          <cell r="CJ100">
            <v>47.033576643384293</v>
          </cell>
          <cell r="CK100">
            <v>47.738300535909723</v>
          </cell>
          <cell r="CL100">
            <v>48.749823471999996</v>
          </cell>
          <cell r="CM100">
            <v>50.323086435999997</v>
          </cell>
          <cell r="CN100">
            <v>50.350853291999996</v>
          </cell>
          <cell r="CO100">
            <v>52.926108060000004</v>
          </cell>
          <cell r="CP100">
            <v>52.071531715999996</v>
          </cell>
          <cell r="CQ100">
            <v>50.270889659999995</v>
          </cell>
          <cell r="CR100">
            <v>51.488345851999995</v>
          </cell>
          <cell r="CS100">
            <v>59.880651180000001</v>
          </cell>
          <cell r="CT100">
            <v>61.317075883999998</v>
          </cell>
          <cell r="CU100">
            <v>60.357440648000001</v>
          </cell>
          <cell r="CV100">
            <v>57.377631864000001</v>
          </cell>
          <cell r="CW100">
            <v>58.050478263999999</v>
          </cell>
          <cell r="CX100">
            <v>47.950862727999997</v>
          </cell>
          <cell r="CY100">
            <v>46.128059732000004</v>
          </cell>
          <cell r="CZ100">
            <v>45.594692479999999</v>
          </cell>
          <cell r="DA100">
            <v>43.359470807999998</v>
          </cell>
          <cell r="DB100">
            <v>43.347716468000002</v>
          </cell>
          <cell r="DC100">
            <v>42.821162979999997</v>
          </cell>
          <cell r="DD100">
            <v>41.974297755999999</v>
          </cell>
          <cell r="DE100">
            <v>41.508273148000001</v>
          </cell>
          <cell r="DF100">
            <v>34.702370395999999</v>
          </cell>
        </row>
        <row r="101">
          <cell r="CB101">
            <v>114.14641279999999</v>
          </cell>
          <cell r="CC101">
            <v>117.47174800000001</v>
          </cell>
          <cell r="CD101">
            <v>116.4321116</v>
          </cell>
          <cell r="CE101">
            <v>120.3296392</v>
          </cell>
          <cell r="CF101">
            <v>119.63222639999999</v>
          </cell>
          <cell r="CG101">
            <v>120.65616759999999</v>
          </cell>
          <cell r="CH101">
            <v>116.03256639999999</v>
          </cell>
          <cell r="CI101">
            <v>119.13475679999999</v>
          </cell>
          <cell r="CJ101">
            <v>121.335838</v>
          </cell>
          <cell r="CK101">
            <v>121.163532</v>
          </cell>
          <cell r="CL101">
            <v>118.26324158200001</v>
          </cell>
          <cell r="CM101">
            <v>115.36295116400001</v>
          </cell>
          <cell r="CN101">
            <v>113.69422044</v>
          </cell>
          <cell r="CO101">
            <v>134.34793673600001</v>
          </cell>
          <cell r="CP101">
            <v>141.62263805199999</v>
          </cell>
          <cell r="CQ101">
            <v>133.38386248799998</v>
          </cell>
          <cell r="CR101">
            <v>136.040435452</v>
          </cell>
          <cell r="CS101">
            <v>146.70073129999997</v>
          </cell>
          <cell r="CT101">
            <v>167.58738483599998</v>
          </cell>
          <cell r="CU101">
            <v>168.53377468799999</v>
          </cell>
          <cell r="CV101">
            <v>167.6105762</v>
          </cell>
          <cell r="CW101">
            <v>172.90319212399999</v>
          </cell>
          <cell r="CX101">
            <v>163.05532759599998</v>
          </cell>
          <cell r="CY101">
            <v>164.91379281599998</v>
          </cell>
          <cell r="CZ101">
            <v>171.975315784</v>
          </cell>
          <cell r="DA101">
            <v>174.67706704</v>
          </cell>
          <cell r="DB101">
            <v>175.214051012</v>
          </cell>
          <cell r="DC101">
            <v>181.76113991600002</v>
          </cell>
          <cell r="DD101">
            <v>180.96192668399999</v>
          </cell>
          <cell r="DE101">
            <v>179.61001039600001</v>
          </cell>
          <cell r="DF101">
            <v>192.05447175200001</v>
          </cell>
        </row>
        <row r="102">
          <cell r="CB102">
            <v>430.71601679865091</v>
          </cell>
          <cell r="CC102">
            <v>436.09388806745358</v>
          </cell>
          <cell r="CD102">
            <v>461.83742461517704</v>
          </cell>
          <cell r="CE102">
            <v>490.50716601146706</v>
          </cell>
          <cell r="CF102">
            <v>496.71773098954463</v>
          </cell>
          <cell r="CG102">
            <v>495.33325646542994</v>
          </cell>
          <cell r="CH102">
            <v>505.41737125666094</v>
          </cell>
          <cell r="CI102">
            <v>529.47404492411465</v>
          </cell>
          <cell r="CJ102">
            <v>523.466804075548</v>
          </cell>
          <cell r="CK102">
            <v>548.79503290387856</v>
          </cell>
          <cell r="CL102">
            <v>535.96464723600002</v>
          </cell>
          <cell r="CM102">
            <v>520.46306800000002</v>
          </cell>
          <cell r="CN102">
            <v>542.14351992399997</v>
          </cell>
          <cell r="CO102">
            <v>555.82240193600001</v>
          </cell>
          <cell r="CP102">
            <v>518.00046382400001</v>
          </cell>
          <cell r="CQ102">
            <v>505.95882659999995</v>
          </cell>
          <cell r="CR102">
            <v>541.32503912800007</v>
          </cell>
          <cell r="CS102">
            <v>534.51343151200001</v>
          </cell>
          <cell r="CT102">
            <v>521.76233371599994</v>
          </cell>
          <cell r="CU102">
            <v>532.21748647599998</v>
          </cell>
          <cell r="CV102">
            <v>550.50749882799994</v>
          </cell>
          <cell r="CW102">
            <v>536.77850136000006</v>
          </cell>
          <cell r="CX102">
            <v>469.80293055599998</v>
          </cell>
          <cell r="CY102">
            <v>509.31938387599996</v>
          </cell>
          <cell r="CZ102">
            <v>529.71076855199999</v>
          </cell>
          <cell r="DA102">
            <v>540.27317753199998</v>
          </cell>
          <cell r="DB102">
            <v>529.74683339199998</v>
          </cell>
          <cell r="DC102">
            <v>522.15054083999996</v>
          </cell>
          <cell r="DD102">
            <v>518.67282913199995</v>
          </cell>
          <cell r="DE102">
            <v>493.08530624400004</v>
          </cell>
          <cell r="DF102">
            <v>503.75010251999998</v>
          </cell>
        </row>
        <row r="103">
          <cell r="CB103">
            <v>110.34914765901638</v>
          </cell>
          <cell r="CC103">
            <v>116.07783040218577</v>
          </cell>
          <cell r="CD103">
            <v>118.75510933989071</v>
          </cell>
          <cell r="CE103">
            <v>122.40925133551912</v>
          </cell>
          <cell r="CF103">
            <v>120.58301469289617</v>
          </cell>
          <cell r="CG103">
            <v>126.47322860109288</v>
          </cell>
          <cell r="CH103">
            <v>138.51030407431693</v>
          </cell>
          <cell r="CI103">
            <v>147.55271189508196</v>
          </cell>
          <cell r="CJ103">
            <v>154.46017165245902</v>
          </cell>
          <cell r="CK103">
            <v>166.77825795409836</v>
          </cell>
          <cell r="CL103">
            <v>170.17742038799997</v>
          </cell>
          <cell r="CM103">
            <v>171.04344057999998</v>
          </cell>
          <cell r="CN103">
            <v>180.8895684</v>
          </cell>
          <cell r="CO103">
            <v>186.67535139199998</v>
          </cell>
          <cell r="CP103">
            <v>188.27252565200001</v>
          </cell>
          <cell r="CQ103">
            <v>184.49908566799999</v>
          </cell>
          <cell r="CR103">
            <v>189.65162875599998</v>
          </cell>
          <cell r="CS103">
            <v>216.57722544799998</v>
          </cell>
          <cell r="CT103">
            <v>223.40631956399997</v>
          </cell>
          <cell r="CU103">
            <v>220.01886207999999</v>
          </cell>
          <cell r="CV103">
            <v>207.53010613999999</v>
          </cell>
          <cell r="CW103">
            <v>199.834729108</v>
          </cell>
          <cell r="CX103">
            <v>163.97076378400001</v>
          </cell>
          <cell r="CY103">
            <v>171.66115588400001</v>
          </cell>
          <cell r="CZ103">
            <v>175.84163040799999</v>
          </cell>
          <cell r="DA103">
            <v>178.53335720800001</v>
          </cell>
          <cell r="DB103">
            <v>179.59327794799998</v>
          </cell>
          <cell r="DC103">
            <v>178.72704962399999</v>
          </cell>
          <cell r="DD103">
            <v>181.37546449599998</v>
          </cell>
          <cell r="DE103">
            <v>179.65944003999999</v>
          </cell>
          <cell r="DF103">
            <v>168.140862416</v>
          </cell>
        </row>
        <row r="104">
          <cell r="CB104">
            <v>113.86799359999999</v>
          </cell>
          <cell r="CC104">
            <v>116.29324320000001</v>
          </cell>
          <cell r="CD104">
            <v>113.7366316</v>
          </cell>
          <cell r="CE104">
            <v>115.537144</v>
          </cell>
          <cell r="CF104">
            <v>112.2251156</v>
          </cell>
          <cell r="CG104">
            <v>115.1096204</v>
          </cell>
          <cell r="CH104">
            <v>117.2912532</v>
          </cell>
          <cell r="CI104">
            <v>119.70421959999999</v>
          </cell>
          <cell r="CJ104">
            <v>123.5822988</v>
          </cell>
          <cell r="CK104">
            <v>127.288072</v>
          </cell>
          <cell r="CL104">
            <v>128.38429642</v>
          </cell>
          <cell r="CM104">
            <v>131.55392499999999</v>
          </cell>
          <cell r="CN104">
            <v>137.15007926800001</v>
          </cell>
          <cell r="CO104">
            <v>140.30935583999999</v>
          </cell>
          <cell r="CP104">
            <v>140.31999104400001</v>
          </cell>
          <cell r="CQ104">
            <v>139.16903131999999</v>
          </cell>
          <cell r="CR104">
            <v>139.718660164</v>
          </cell>
          <cell r="CS104">
            <v>151.96005633999999</v>
          </cell>
          <cell r="CT104">
            <v>158.331884452</v>
          </cell>
          <cell r="CU104">
            <v>157.69310346</v>
          </cell>
          <cell r="CV104">
            <v>156.99244243599998</v>
          </cell>
          <cell r="CW104">
            <v>148.58574188</v>
          </cell>
          <cell r="CX104">
            <v>117.327584176</v>
          </cell>
          <cell r="CY104">
            <v>120.60719175200001</v>
          </cell>
          <cell r="CZ104">
            <v>120.78136070399999</v>
          </cell>
          <cell r="DA104">
            <v>120.404798736</v>
          </cell>
          <cell r="DB104">
            <v>119.71339788</v>
          </cell>
          <cell r="DC104">
            <v>121.96623911999998</v>
          </cell>
          <cell r="DD104">
            <v>125.64074134000001</v>
          </cell>
          <cell r="DE104">
            <v>126.29095253199999</v>
          </cell>
          <cell r="DF104">
            <v>124.541934036</v>
          </cell>
        </row>
        <row r="105">
          <cell r="CB105">
            <v>434.03147016125655</v>
          </cell>
          <cell r="CC105">
            <v>499.72452113089003</v>
          </cell>
          <cell r="CD105">
            <v>488.47492132774869</v>
          </cell>
          <cell r="CE105">
            <v>494.40657078534031</v>
          </cell>
          <cell r="CF105">
            <v>490.50840187225128</v>
          </cell>
          <cell r="CG105">
            <v>478.26664963350788</v>
          </cell>
          <cell r="CH105">
            <v>470.67033718115181</v>
          </cell>
          <cell r="CI105">
            <v>475.66366162931934</v>
          </cell>
          <cell r="CJ105">
            <v>470.03205023246073</v>
          </cell>
          <cell r="CK105">
            <v>479.4804248670157</v>
          </cell>
          <cell r="CL105">
            <v>452.448700148</v>
          </cell>
          <cell r="CM105">
            <v>444.10567774799995</v>
          </cell>
          <cell r="CN105">
            <v>456.774188084</v>
          </cell>
          <cell r="CO105">
            <v>467.44607449599999</v>
          </cell>
          <cell r="CP105">
            <v>424.81313449599998</v>
          </cell>
          <cell r="CQ105">
            <v>450.38293204399997</v>
          </cell>
          <cell r="CR105">
            <v>428.65577325199996</v>
          </cell>
          <cell r="CS105">
            <v>439.55877489599999</v>
          </cell>
          <cell r="CT105">
            <v>456.79283125199998</v>
          </cell>
          <cell r="CU105">
            <v>443.67349676800001</v>
          </cell>
          <cell r="CV105">
            <v>466.72509842399995</v>
          </cell>
          <cell r="CW105">
            <v>473.65823124400004</v>
          </cell>
          <cell r="CX105">
            <v>354.88301735599998</v>
          </cell>
          <cell r="CY105">
            <v>403.28624645599996</v>
          </cell>
          <cell r="CZ105">
            <v>465.72311003200002</v>
          </cell>
          <cell r="DA105">
            <v>454.57251319599999</v>
          </cell>
          <cell r="DB105">
            <v>418.22865689599996</v>
          </cell>
          <cell r="DC105">
            <v>405.70103486399995</v>
          </cell>
          <cell r="DD105">
            <v>396.96090343200001</v>
          </cell>
          <cell r="DE105">
            <v>332.5990304</v>
          </cell>
          <cell r="DF105">
            <v>331.84799801999998</v>
          </cell>
        </row>
        <row r="106">
          <cell r="CB106">
            <v>111.79253633733873</v>
          </cell>
          <cell r="CC106">
            <v>118.75029238507044</v>
          </cell>
          <cell r="CD106">
            <v>120.58309233333516</v>
          </cell>
          <cell r="CE106">
            <v>120.9145451690495</v>
          </cell>
          <cell r="CF106">
            <v>118.55444953613846</v>
          </cell>
          <cell r="CG106">
            <v>114.50817795082392</v>
          </cell>
          <cell r="CH106">
            <v>121.96741559942353</v>
          </cell>
          <cell r="CI106">
            <v>123.24366390142647</v>
          </cell>
          <cell r="CJ106">
            <v>130.09231242172157</v>
          </cell>
          <cell r="CK106">
            <v>135.3525343201872</v>
          </cell>
          <cell r="CL106">
            <v>141.63235883999999</v>
          </cell>
          <cell r="CM106">
            <v>145.711790396</v>
          </cell>
          <cell r="CN106">
            <v>154.172833876</v>
          </cell>
          <cell r="CO106">
            <v>159.80022841600001</v>
          </cell>
          <cell r="CP106">
            <v>156.85912877199999</v>
          </cell>
          <cell r="CQ106">
            <v>139.449968576</v>
          </cell>
          <cell r="CR106">
            <v>144.44251274799998</v>
          </cell>
          <cell r="CS106">
            <v>168.11313650400001</v>
          </cell>
          <cell r="CT106">
            <v>180.60769625599997</v>
          </cell>
          <cell r="CU106">
            <v>179.19403641600002</v>
          </cell>
          <cell r="CV106">
            <v>162.483268264</v>
          </cell>
          <cell r="CW106">
            <v>166.160735512</v>
          </cell>
          <cell r="CX106">
            <v>128.06374925599999</v>
          </cell>
          <cell r="CY106">
            <v>135.48137584</v>
          </cell>
          <cell r="CZ106">
            <v>148.81893502</v>
          </cell>
          <cell r="DA106">
            <v>141.51061867999999</v>
          </cell>
          <cell r="DB106">
            <v>146.36505874000002</v>
          </cell>
          <cell r="DC106">
            <v>149.814583916</v>
          </cell>
          <cell r="DD106">
            <v>147.86258895199998</v>
          </cell>
          <cell r="DE106">
            <v>143.28888484000001</v>
          </cell>
          <cell r="DF106">
            <v>136.667445044</v>
          </cell>
        </row>
        <row r="107">
          <cell r="CB107">
            <v>75.036505038745617</v>
          </cell>
          <cell r="CC107">
            <v>77.692193284222668</v>
          </cell>
          <cell r="CD107">
            <v>82.222593006052819</v>
          </cell>
          <cell r="CE107">
            <v>83.868091472972651</v>
          </cell>
          <cell r="CF107">
            <v>82.396721447131014</v>
          </cell>
          <cell r="CG107">
            <v>76.935392520099057</v>
          </cell>
          <cell r="CH107">
            <v>80.611369381665114</v>
          </cell>
          <cell r="CI107">
            <v>85.185224707419891</v>
          </cell>
          <cell r="CJ107">
            <v>86.617117459273658</v>
          </cell>
          <cell r="CK107">
            <v>87.864782932517485</v>
          </cell>
          <cell r="CL107">
            <v>91.946374692000006</v>
          </cell>
          <cell r="CM107">
            <v>92.773699392000012</v>
          </cell>
          <cell r="CN107">
            <v>90.795930179999999</v>
          </cell>
          <cell r="CO107">
            <v>94.666874887999995</v>
          </cell>
          <cell r="CP107">
            <v>92.647602108000001</v>
          </cell>
          <cell r="CQ107">
            <v>82.569779015999998</v>
          </cell>
          <cell r="CR107">
            <v>82.280649548</v>
          </cell>
          <cell r="CS107">
            <v>96.618532063999993</v>
          </cell>
          <cell r="CT107">
            <v>103.62875561200001</v>
          </cell>
          <cell r="CU107">
            <v>106.736016244</v>
          </cell>
          <cell r="CV107">
            <v>105.377490912</v>
          </cell>
          <cell r="CW107">
            <v>102.92644659199999</v>
          </cell>
          <cell r="CX107">
            <v>80.589184668000001</v>
          </cell>
          <cell r="CY107">
            <v>80.164175712000002</v>
          </cell>
          <cell r="CZ107">
            <v>88.023710887999997</v>
          </cell>
          <cell r="DA107">
            <v>83.639372775999988</v>
          </cell>
          <cell r="DB107">
            <v>85.032806280000003</v>
          </cell>
          <cell r="DC107">
            <v>87.051430780000004</v>
          </cell>
          <cell r="DD107">
            <v>84.493259895999998</v>
          </cell>
          <cell r="DE107">
            <v>83.189463043999993</v>
          </cell>
          <cell r="DF107">
            <v>80.275877767999987</v>
          </cell>
        </row>
        <row r="108">
          <cell r="CB108">
            <v>117.30317472933524</v>
          </cell>
          <cell r="CC108">
            <v>120.097983423326</v>
          </cell>
          <cell r="CD108">
            <v>123.33101691991858</v>
          </cell>
          <cell r="CE108">
            <v>126.73288702710265</v>
          </cell>
          <cell r="CF108">
            <v>125.49737823004109</v>
          </cell>
          <cell r="CG108">
            <v>121.64152523659999</v>
          </cell>
          <cell r="CH108">
            <v>123.37528963114035</v>
          </cell>
          <cell r="CI108">
            <v>124.94734607198089</v>
          </cell>
          <cell r="CJ108">
            <v>125.59605384912012</v>
          </cell>
          <cell r="CK108">
            <v>126.7992960939353</v>
          </cell>
          <cell r="CL108">
            <v>128.99854854399999</v>
          </cell>
          <cell r="CM108">
            <v>127.959284052</v>
          </cell>
          <cell r="CN108">
            <v>123.546483036</v>
          </cell>
          <cell r="CO108">
            <v>133.54378634</v>
          </cell>
          <cell r="CP108">
            <v>128.93979731600001</v>
          </cell>
          <cell r="CQ108">
            <v>111.118071728</v>
          </cell>
          <cell r="CR108">
            <v>112.69819281199999</v>
          </cell>
          <cell r="CS108">
            <v>116.681218308</v>
          </cell>
          <cell r="CT108">
            <v>116.74021861200001</v>
          </cell>
          <cell r="CU108">
            <v>117.602925752</v>
          </cell>
          <cell r="CV108">
            <v>115.96706964800001</v>
          </cell>
          <cell r="CW108">
            <v>114.43627584799999</v>
          </cell>
          <cell r="CX108">
            <v>100.66183054</v>
          </cell>
          <cell r="CY108">
            <v>94.309365528000001</v>
          </cell>
          <cell r="CZ108">
            <v>94.879961112000004</v>
          </cell>
          <cell r="DA108">
            <v>141.09177179600002</v>
          </cell>
          <cell r="DB108">
            <v>126.094001656</v>
          </cell>
          <cell r="DC108">
            <v>150.502760432</v>
          </cell>
          <cell r="DD108">
            <v>161.45564210399999</v>
          </cell>
          <cell r="DE108">
            <v>165.44328744799998</v>
          </cell>
          <cell r="DF108">
            <v>161.63330153200002</v>
          </cell>
        </row>
        <row r="109">
          <cell r="CB109">
            <v>51.594232792454768</v>
          </cell>
          <cell r="CC109">
            <v>53.163690091160618</v>
          </cell>
          <cell r="CD109">
            <v>53.39730074266356</v>
          </cell>
          <cell r="CE109">
            <v>53.927901631120662</v>
          </cell>
          <cell r="CF109">
            <v>51.473161533067156</v>
          </cell>
          <cell r="CG109">
            <v>49.12202268046277</v>
          </cell>
          <cell r="CH109">
            <v>51.668175642147865</v>
          </cell>
          <cell r="CI109">
            <v>52.586367072402908</v>
          </cell>
          <cell r="CJ109">
            <v>53.684133994769773</v>
          </cell>
          <cell r="CK109">
            <v>53.999000525056346</v>
          </cell>
          <cell r="CL109">
            <v>56.083009879999999</v>
          </cell>
          <cell r="CM109">
            <v>55.019660080000001</v>
          </cell>
          <cell r="CN109">
            <v>54.704630119999997</v>
          </cell>
          <cell r="CO109">
            <v>55.079076648000004</v>
          </cell>
          <cell r="CP109">
            <v>52.979321611999993</v>
          </cell>
          <cell r="CQ109">
            <v>47.035614199999998</v>
          </cell>
          <cell r="CR109">
            <v>46.385491719999997</v>
          </cell>
          <cell r="CS109">
            <v>48.922020288000006</v>
          </cell>
          <cell r="CT109">
            <v>51.191931763999996</v>
          </cell>
          <cell r="CU109">
            <v>51.663726063999995</v>
          </cell>
          <cell r="CV109">
            <v>52.612490668</v>
          </cell>
          <cell r="CW109">
            <v>50.072976600000004</v>
          </cell>
          <cell r="CX109">
            <v>39.156026699999998</v>
          </cell>
          <cell r="CY109">
            <v>39.913531644000003</v>
          </cell>
          <cell r="CZ109">
            <v>43.524294291999993</v>
          </cell>
          <cell r="DA109">
            <v>42.068765799999994</v>
          </cell>
          <cell r="DB109">
            <v>38.609277583999997</v>
          </cell>
          <cell r="DC109">
            <v>36.611210383999996</v>
          </cell>
          <cell r="DD109">
            <v>36.592806056000001</v>
          </cell>
          <cell r="DE109">
            <v>34.956301671999995</v>
          </cell>
          <cell r="DF109">
            <v>32.039222507999995</v>
          </cell>
        </row>
        <row r="110">
          <cell r="CB110">
            <v>148.48101866152217</v>
          </cell>
          <cell r="CC110">
            <v>154.05119390842597</v>
          </cell>
          <cell r="CD110">
            <v>152.37196480633253</v>
          </cell>
          <cell r="CE110">
            <v>153.23725770984589</v>
          </cell>
          <cell r="CF110">
            <v>146.74468901249639</v>
          </cell>
          <cell r="CG110">
            <v>151.69351570431976</v>
          </cell>
          <cell r="CH110">
            <v>158.65707944559645</v>
          </cell>
          <cell r="CI110">
            <v>162.54126812923144</v>
          </cell>
          <cell r="CJ110">
            <v>165.69294802145021</v>
          </cell>
          <cell r="CK110">
            <v>164.64250068173021</v>
          </cell>
          <cell r="CL110">
            <v>181.49709206</v>
          </cell>
          <cell r="CM110">
            <v>175.71835826</v>
          </cell>
          <cell r="CN110">
            <v>181.08791137200001</v>
          </cell>
          <cell r="CO110">
            <v>186.38836807199999</v>
          </cell>
          <cell r="CP110">
            <v>189.42251977999999</v>
          </cell>
          <cell r="CQ110">
            <v>181.823920716</v>
          </cell>
          <cell r="CR110">
            <v>178.301098956</v>
          </cell>
          <cell r="CS110">
            <v>192.51036271999999</v>
          </cell>
          <cell r="CT110">
            <v>196.24766279999997</v>
          </cell>
          <cell r="CU110">
            <v>189.979061336</v>
          </cell>
          <cell r="CV110">
            <v>194.72188122799997</v>
          </cell>
          <cell r="CW110">
            <v>189.70901518399998</v>
          </cell>
          <cell r="CX110">
            <v>149.042844108</v>
          </cell>
          <cell r="CY110">
            <v>176.70813510400001</v>
          </cell>
          <cell r="CZ110">
            <v>197.729702532</v>
          </cell>
          <cell r="DA110">
            <v>195.46619537999999</v>
          </cell>
          <cell r="DB110">
            <v>194.855908</v>
          </cell>
          <cell r="DC110">
            <v>199.433143532</v>
          </cell>
          <cell r="DD110">
            <v>208.29709303199999</v>
          </cell>
          <cell r="DE110">
            <v>214.03997353599999</v>
          </cell>
          <cell r="DF110">
            <v>199.60534375999998</v>
          </cell>
        </row>
        <row r="111">
          <cell r="CB111">
            <v>21.359852613141975</v>
          </cell>
          <cell r="CC111">
            <v>22.199010092285135</v>
          </cell>
          <cell r="CD111">
            <v>23.355205032498805</v>
          </cell>
          <cell r="CE111">
            <v>22.280034512346635</v>
          </cell>
          <cell r="CF111">
            <v>21.53568569070282</v>
          </cell>
          <cell r="CG111">
            <v>22.237673197293738</v>
          </cell>
          <cell r="CH111">
            <v>24.134854950020038</v>
          </cell>
          <cell r="CI111">
            <v>24.760861050246227</v>
          </cell>
          <cell r="CJ111">
            <v>25.688439369539484</v>
          </cell>
          <cell r="CK111">
            <v>25.845108995052591</v>
          </cell>
          <cell r="CL111">
            <v>28.695360147999999</v>
          </cell>
          <cell r="CM111">
            <v>28.813957855999998</v>
          </cell>
          <cell r="CN111">
            <v>28.427545444</v>
          </cell>
          <cell r="CO111">
            <v>29.604579672</v>
          </cell>
          <cell r="CP111">
            <v>27.776730327999999</v>
          </cell>
          <cell r="CQ111">
            <v>27.030744296000002</v>
          </cell>
          <cell r="CR111">
            <v>27.583007204000001</v>
          </cell>
          <cell r="CS111">
            <v>33.419383331999995</v>
          </cell>
          <cell r="CT111">
            <v>33.400091883999998</v>
          </cell>
          <cell r="CU111">
            <v>32.803670871999998</v>
          </cell>
          <cell r="CV111">
            <v>29.471651563999998</v>
          </cell>
          <cell r="CW111">
            <v>27.580656336000001</v>
          </cell>
          <cell r="CX111">
            <v>20.005828676</v>
          </cell>
          <cell r="CY111">
            <v>19.100546599999998</v>
          </cell>
          <cell r="CZ111">
            <v>18.576064195999997</v>
          </cell>
          <cell r="DA111">
            <v>17.142860419999998</v>
          </cell>
          <cell r="DB111">
            <v>17.870271524</v>
          </cell>
          <cell r="DC111">
            <v>17.811506647999998</v>
          </cell>
          <cell r="DD111">
            <v>18.329444836</v>
          </cell>
          <cell r="DE111">
            <v>18.839074804000003</v>
          </cell>
          <cell r="DF111">
            <v>17.329742484000001</v>
          </cell>
        </row>
        <row r="112">
          <cell r="CB112">
            <v>25.284567016894268</v>
          </cell>
          <cell r="CC112">
            <v>26.64857301611816</v>
          </cell>
          <cell r="CD112">
            <v>27.664804893891468</v>
          </cell>
          <cell r="CE112">
            <v>29.85303894726405</v>
          </cell>
          <cell r="CF112">
            <v>28.863897556069173</v>
          </cell>
          <cell r="CG112">
            <v>27.325157918414416</v>
          </cell>
          <cell r="CH112">
            <v>30.172706688889512</v>
          </cell>
          <cell r="CI112">
            <v>30.71790273128039</v>
          </cell>
          <cell r="CJ112">
            <v>32.973185738934589</v>
          </cell>
          <cell r="CK112">
            <v>33.488920877171424</v>
          </cell>
          <cell r="CL112">
            <v>34.532872472000001</v>
          </cell>
          <cell r="CM112">
            <v>35.481852031999999</v>
          </cell>
          <cell r="CN112">
            <v>35.006884571999997</v>
          </cell>
          <cell r="CO112">
            <v>36.657630644000001</v>
          </cell>
          <cell r="CP112">
            <v>37.375102591999998</v>
          </cell>
          <cell r="CQ112">
            <v>35.271246332000004</v>
          </cell>
          <cell r="CR112">
            <v>36.568011052000003</v>
          </cell>
          <cell r="CS112">
            <v>43.772309159999999</v>
          </cell>
          <cell r="CT112">
            <v>44.576063763999997</v>
          </cell>
          <cell r="CU112">
            <v>43.850928463999999</v>
          </cell>
          <cell r="CV112">
            <v>40.031696027999999</v>
          </cell>
          <cell r="CW112">
            <v>39.769118744000004</v>
          </cell>
          <cell r="CX112">
            <v>34.883922916000003</v>
          </cell>
          <cell r="CY112">
            <v>35.953311956</v>
          </cell>
          <cell r="CZ112">
            <v>36.712505839999999</v>
          </cell>
          <cell r="DA112">
            <v>31.878974516</v>
          </cell>
          <cell r="DB112">
            <v>33.50428754</v>
          </cell>
          <cell r="DC112">
            <v>32.096567991999997</v>
          </cell>
          <cell r="DD112">
            <v>33.531549419999997</v>
          </cell>
          <cell r="DE112">
            <v>33.142451764</v>
          </cell>
          <cell r="DF112">
            <v>28.245211575999999</v>
          </cell>
        </row>
      </sheetData>
      <sheetData sheetId="17">
        <row r="72">
          <cell r="X72">
            <v>809.47920683727943</v>
          </cell>
          <cell r="Y72">
            <v>846.41354426347027</v>
          </cell>
          <cell r="Z72">
            <v>829.1869310676276</v>
          </cell>
          <cell r="AA72">
            <v>847.05326299822445</v>
          </cell>
          <cell r="AB72">
            <v>850.07470646681315</v>
          </cell>
          <cell r="AC72">
            <v>802.39401110358517</v>
          </cell>
          <cell r="AD72">
            <v>812.49807819074613</v>
          </cell>
          <cell r="AE72">
            <v>864.10681056839985</v>
          </cell>
          <cell r="AF72">
            <v>924.71362317361468</v>
          </cell>
          <cell r="AG72">
            <v>1004.0935911073389</v>
          </cell>
          <cell r="AH72">
            <v>993.62471750771124</v>
          </cell>
          <cell r="AI72">
            <v>863.41523002112513</v>
          </cell>
          <cell r="AJ72">
            <v>866.96704502578189</v>
          </cell>
          <cell r="AK72">
            <v>915.05744987672722</v>
          </cell>
          <cell r="AL72">
            <v>935.89991627574511</v>
          </cell>
          <cell r="AM72">
            <v>891.45279743091669</v>
          </cell>
          <cell r="AN72">
            <v>1034.8069674720462</v>
          </cell>
          <cell r="AO72">
            <v>965.04728132387697</v>
          </cell>
          <cell r="AP72">
            <v>908.22435811178309</v>
          </cell>
          <cell r="AQ72">
            <v>875.68937646619963</v>
          </cell>
          <cell r="AR72">
            <v>879.5030006208591</v>
          </cell>
          <cell r="AS72">
            <v>1010.0340513717513</v>
          </cell>
          <cell r="AT72">
            <v>1014.9082713994884</v>
          </cell>
          <cell r="AU72">
            <v>913.03864427382496</v>
          </cell>
          <cell r="AV72">
            <v>1083.4351711054369</v>
          </cell>
          <cell r="AW72">
            <v>961.05497076023414</v>
          </cell>
          <cell r="AX72">
            <v>965.06225738030412</v>
          </cell>
          <cell r="AY72">
            <v>906.99041646093497</v>
          </cell>
          <cell r="AZ72">
            <v>939.71891092574265</v>
          </cell>
          <cell r="BA72">
            <v>929.61439588688961</v>
          </cell>
          <cell r="BB72">
            <v>1031.3117559508223</v>
          </cell>
          <cell r="BC72">
            <v>1062.4019846207495</v>
          </cell>
          <cell r="BD72">
            <v>972.34043510899312</v>
          </cell>
        </row>
        <row r="73">
          <cell r="X73">
            <v>156.14140432625024</v>
          </cell>
          <cell r="Y73">
            <v>167.34431376858674</v>
          </cell>
          <cell r="Z73">
            <v>172.60133796131424</v>
          </cell>
          <cell r="AA73">
            <v>168.48905994885055</v>
          </cell>
          <cell r="AB73">
            <v>167.44427557233792</v>
          </cell>
          <cell r="AC73">
            <v>155.89053627343949</v>
          </cell>
          <cell r="AD73">
            <v>167.22964134569051</v>
          </cell>
          <cell r="AE73">
            <v>171.780636136151</v>
          </cell>
          <cell r="AF73">
            <v>179.66474753861871</v>
          </cell>
          <cell r="AG73">
            <v>192.94392268146368</v>
          </cell>
          <cell r="AH73">
            <v>191.14160925904667</v>
          </cell>
          <cell r="AI73">
            <v>167.54192400221055</v>
          </cell>
          <cell r="AJ73">
            <v>171.25976029373552</v>
          </cell>
          <cell r="AK73">
            <v>184.88701298701298</v>
          </cell>
          <cell r="AL73">
            <v>188.23985610079663</v>
          </cell>
          <cell r="AM73">
            <v>157.68810502113217</v>
          </cell>
          <cell r="AN73">
            <v>157.15177870950743</v>
          </cell>
          <cell r="AO73">
            <v>162.30000000000001</v>
          </cell>
          <cell r="AP73">
            <v>144.99139660239163</v>
          </cell>
          <cell r="AQ73">
            <v>150.02478759448186</v>
          </cell>
          <cell r="AR73">
            <v>157.1355821403335</v>
          </cell>
          <cell r="AS73">
            <v>163.6</v>
          </cell>
          <cell r="AT73">
            <v>116.9141369731656</v>
          </cell>
          <cell r="AU73">
            <v>99.127801493282846</v>
          </cell>
          <cell r="AV73">
            <v>91.065778756817252</v>
          </cell>
          <cell r="AW73">
            <v>60.599999999999994</v>
          </cell>
          <cell r="AX73">
            <v>63.759298239815969</v>
          </cell>
          <cell r="AY73">
            <v>66.642472965386673</v>
          </cell>
          <cell r="AZ73">
            <v>73.640984069131306</v>
          </cell>
          <cell r="BA73">
            <v>76.296918456253877</v>
          </cell>
          <cell r="BB73">
            <v>78.955706526187896</v>
          </cell>
          <cell r="BC73">
            <v>83.013391258306129</v>
          </cell>
          <cell r="BD73">
            <v>61.908564784687663</v>
          </cell>
        </row>
        <row r="74">
          <cell r="X74">
            <v>26.617232125336574</v>
          </cell>
          <cell r="Y74">
            <v>36.94431091108774</v>
          </cell>
          <cell r="Z74">
            <v>40.198958106399957</v>
          </cell>
          <cell r="AA74">
            <v>45.342645534134824</v>
          </cell>
          <cell r="AB74">
            <v>37.979467485868135</v>
          </cell>
          <cell r="AC74">
            <v>33.550411325657592</v>
          </cell>
          <cell r="AD74">
            <v>36.194401497141108</v>
          </cell>
          <cell r="AE74">
            <v>58.909949086980809</v>
          </cell>
          <cell r="AF74">
            <v>50.365507298591751</v>
          </cell>
          <cell r="AG74">
            <v>39.929519476868371</v>
          </cell>
          <cell r="AH74">
            <v>44.163792076903171</v>
          </cell>
          <cell r="AI74">
            <v>35.490357434615937</v>
          </cell>
          <cell r="AJ74">
            <v>33.505819680304022</v>
          </cell>
          <cell r="AK74">
            <v>34.352962011865763</v>
          </cell>
          <cell r="AL74">
            <v>33.91378664117839</v>
          </cell>
          <cell r="AM74">
            <v>27.468197272697665</v>
          </cell>
          <cell r="AN74">
            <v>25.827260729544228</v>
          </cell>
          <cell r="AO74">
            <v>22.7</v>
          </cell>
          <cell r="AP74">
            <v>13.671933610657817</v>
          </cell>
          <cell r="AQ74">
            <v>13.341515538178815</v>
          </cell>
          <cell r="AR74">
            <v>10.883701851925141</v>
          </cell>
          <cell r="AS74">
            <v>9.2740514705882351</v>
          </cell>
          <cell r="AT74">
            <v>5.9590066228234004</v>
          </cell>
          <cell r="AU74">
            <v>3.2620457108962455</v>
          </cell>
          <cell r="AV74">
            <v>3.9356002601505464</v>
          </cell>
          <cell r="AW74">
            <v>3.5020000000000007</v>
          </cell>
          <cell r="AX74">
            <v>4.1315976302548876</v>
          </cell>
          <cell r="AY74">
            <v>3.4739883654674677</v>
          </cell>
          <cell r="AZ74">
            <v>3.6430636453559284</v>
          </cell>
          <cell r="BA74">
            <v>3.7269389274625002</v>
          </cell>
          <cell r="BB74">
            <v>5.5060349647632174</v>
          </cell>
          <cell r="BC74">
            <v>6.1677277628906131</v>
          </cell>
          <cell r="BD74">
            <v>5.3133998769762787</v>
          </cell>
        </row>
        <row r="75">
          <cell r="X75">
            <v>248.79987339144392</v>
          </cell>
          <cell r="Y75">
            <v>255.75096288820842</v>
          </cell>
          <cell r="Z75">
            <v>293.32052036990052</v>
          </cell>
          <cell r="AA75">
            <v>302.60197307912358</v>
          </cell>
          <cell r="AB75">
            <v>314.9887421000052</v>
          </cell>
          <cell r="AC75">
            <v>317.55370658139736</v>
          </cell>
          <cell r="AD75">
            <v>314.83245355703332</v>
          </cell>
          <cell r="AE75">
            <v>285.65263466533656</v>
          </cell>
          <cell r="AF75">
            <v>308.99770621726981</v>
          </cell>
          <cell r="AG75">
            <v>319.45866435321039</v>
          </cell>
          <cell r="AH75">
            <v>373.175688180669</v>
          </cell>
          <cell r="AI75">
            <v>354.54713892835093</v>
          </cell>
          <cell r="AJ75">
            <v>351.37930414555245</v>
          </cell>
          <cell r="AK75">
            <v>432</v>
          </cell>
          <cell r="AL75">
            <v>456.74360361562697</v>
          </cell>
          <cell r="AM75">
            <v>395.2956117738114</v>
          </cell>
          <cell r="AN75">
            <v>334.70967035316471</v>
          </cell>
          <cell r="AO75">
            <v>303</v>
          </cell>
          <cell r="AP75">
            <v>314.89295454903845</v>
          </cell>
          <cell r="AQ75">
            <v>333.49578308882769</v>
          </cell>
          <cell r="AR75">
            <v>327.45316910170362</v>
          </cell>
          <cell r="AS75">
            <v>353.12376237623766</v>
          </cell>
          <cell r="AT75">
            <v>383.76922853037314</v>
          </cell>
          <cell r="AU75">
            <v>339.74192149723717</v>
          </cell>
          <cell r="AV75">
            <v>348.68727360175069</v>
          </cell>
          <cell r="AW75">
            <v>416.41090047393362</v>
          </cell>
          <cell r="AX75">
            <v>343.72654675382017</v>
          </cell>
          <cell r="AY75">
            <v>267.67949452919697</v>
          </cell>
          <cell r="AZ75">
            <v>299.22343011690577</v>
          </cell>
          <cell r="BA75">
            <v>311.29065420560755</v>
          </cell>
          <cell r="BB75">
            <v>386.62614340354691</v>
          </cell>
          <cell r="BC75">
            <v>429.70548513644457</v>
          </cell>
          <cell r="BD75">
            <v>458.66192826003987</v>
          </cell>
        </row>
        <row r="76">
          <cell r="X76">
            <v>2017.3632372266718</v>
          </cell>
          <cell r="Y76">
            <v>1985.8799822003309</v>
          </cell>
          <cell r="Z76">
            <v>2039.394142819116</v>
          </cell>
          <cell r="AA76">
            <v>2153.9562641132611</v>
          </cell>
          <cell r="AB76">
            <v>2186.1253063093668</v>
          </cell>
          <cell r="AC76">
            <v>2232.4561523667417</v>
          </cell>
          <cell r="AD76">
            <v>2267.2367478194155</v>
          </cell>
          <cell r="AE76">
            <v>2376.8968151839495</v>
          </cell>
          <cell r="AF76">
            <v>2413.8600589553034</v>
          </cell>
          <cell r="AG76">
            <v>2406.5414497255792</v>
          </cell>
          <cell r="AH76">
            <v>2475.5808788868676</v>
          </cell>
          <cell r="AI76">
            <v>2446.6406877806153</v>
          </cell>
          <cell r="AJ76">
            <v>2445.854889506194</v>
          </cell>
          <cell r="AK76">
            <v>2505.7949820788535</v>
          </cell>
          <cell r="AL76">
            <v>2466.2861515725422</v>
          </cell>
          <cell r="AM76">
            <v>2357.5413304608142</v>
          </cell>
          <cell r="AN76">
            <v>2297.97199140968</v>
          </cell>
          <cell r="AO76">
            <v>2136.1695205479455</v>
          </cell>
          <cell r="AP76">
            <v>2061.0989756446602</v>
          </cell>
          <cell r="AQ76">
            <v>2027.4615451477271</v>
          </cell>
          <cell r="AR76">
            <v>2040.7868399388217</v>
          </cell>
          <cell r="AS76">
            <v>2106.0000000000005</v>
          </cell>
          <cell r="AT76">
            <v>2089.7893193026234</v>
          </cell>
          <cell r="AU76">
            <v>1905.1972256137692</v>
          </cell>
          <cell r="AV76">
            <v>1774.1877172586446</v>
          </cell>
          <cell r="AW76">
            <v>1904.3998060796648</v>
          </cell>
          <cell r="AX76">
            <v>1722.3500218061683</v>
          </cell>
          <cell r="AY76">
            <v>1679.0231911427602</v>
          </cell>
          <cell r="AZ76">
            <v>1810.9037299694319</v>
          </cell>
          <cell r="BA76">
            <v>1898.9999999999995</v>
          </cell>
          <cell r="BB76">
            <v>1916.5339866445672</v>
          </cell>
          <cell r="BC76">
            <v>1920.6028756718426</v>
          </cell>
          <cell r="BD76">
            <v>1793.6389598515493</v>
          </cell>
        </row>
        <row r="77">
          <cell r="X77">
            <v>26.699079874753146</v>
          </cell>
          <cell r="Y77">
            <v>31.398684042991391</v>
          </cell>
          <cell r="Z77">
            <v>35.457031000499875</v>
          </cell>
          <cell r="AA77">
            <v>40.089746346787358</v>
          </cell>
          <cell r="AB77">
            <v>41.243633713675216</v>
          </cell>
          <cell r="AC77">
            <v>40.250360783695896</v>
          </cell>
          <cell r="AD77">
            <v>38.576483481067754</v>
          </cell>
          <cell r="AE77">
            <v>38.178392597320695</v>
          </cell>
          <cell r="AF77">
            <v>35.271440939704888</v>
          </cell>
          <cell r="AG77">
            <v>37.113573244007689</v>
          </cell>
          <cell r="AH77">
            <v>43.25702920359759</v>
          </cell>
          <cell r="AI77">
            <v>40.451540553393649</v>
          </cell>
          <cell r="AJ77">
            <v>40.780165270667837</v>
          </cell>
          <cell r="AK77">
            <v>47.255434782608695</v>
          </cell>
          <cell r="AL77">
            <v>52.429436120466939</v>
          </cell>
          <cell r="AM77">
            <v>44.186389717811394</v>
          </cell>
          <cell r="AN77">
            <v>44.126805930480998</v>
          </cell>
          <cell r="AO77">
            <v>47.999999999999993</v>
          </cell>
          <cell r="AP77">
            <v>39.819085106720387</v>
          </cell>
          <cell r="AQ77">
            <v>40.048290629951197</v>
          </cell>
          <cell r="AR77">
            <v>36.781764992887744</v>
          </cell>
          <cell r="AS77">
            <v>40.35</v>
          </cell>
          <cell r="AT77">
            <v>40.75902803217263</v>
          </cell>
          <cell r="AU77">
            <v>32.249641305954945</v>
          </cell>
          <cell r="AV77">
            <v>42.464577577756309</v>
          </cell>
          <cell r="AW77">
            <v>35.52710201004745</v>
          </cell>
          <cell r="AX77">
            <v>39.437232817433554</v>
          </cell>
          <cell r="AY77">
            <v>40.905157154680516</v>
          </cell>
          <cell r="AZ77">
            <v>41.407237565591984</v>
          </cell>
          <cell r="BA77">
            <v>40.506738095942879</v>
          </cell>
          <cell r="BB77">
            <v>42.302114908524757</v>
          </cell>
          <cell r="BC77">
            <v>49.444781462339549</v>
          </cell>
          <cell r="BD77">
            <v>60.250921660022009</v>
          </cell>
        </row>
        <row r="78">
          <cell r="X78">
            <v>2519.63338026471</v>
          </cell>
          <cell r="Y78">
            <v>2626.7910501830515</v>
          </cell>
          <cell r="Z78">
            <v>2540.5233690368532</v>
          </cell>
          <cell r="AA78">
            <v>3018.3157833208884</v>
          </cell>
          <cell r="AB78">
            <v>2915.2969285910458</v>
          </cell>
          <cell r="AC78">
            <v>3124.7889425288813</v>
          </cell>
          <cell r="AD78">
            <v>2884.3712617836491</v>
          </cell>
          <cell r="AE78">
            <v>2872.0335311985223</v>
          </cell>
          <cell r="AF78">
            <v>3246.954653256812</v>
          </cell>
          <cell r="AG78">
            <v>3144.6947232151388</v>
          </cell>
          <cell r="AH78">
            <v>3137.1820875101562</v>
          </cell>
          <cell r="AI78">
            <v>3074.5702595876492</v>
          </cell>
          <cell r="AJ78">
            <v>2948.5478262636057</v>
          </cell>
          <cell r="AK78">
            <v>3493.6554396423253</v>
          </cell>
          <cell r="AL78">
            <v>3736.3431541042128</v>
          </cell>
          <cell r="AM78">
            <v>3908.8030195986717</v>
          </cell>
          <cell r="AN78">
            <v>3382.1146834966976</v>
          </cell>
          <cell r="AO78">
            <v>3078.3275659917545</v>
          </cell>
          <cell r="AP78">
            <v>2950.6917979983832</v>
          </cell>
          <cell r="AQ78">
            <v>3027.5914683284677</v>
          </cell>
          <cell r="AR78">
            <v>3195.1166606685088</v>
          </cell>
          <cell r="AS78">
            <v>3260.2538940809955</v>
          </cell>
          <cell r="AT78">
            <v>3222.6008647385552</v>
          </cell>
          <cell r="AU78">
            <v>3288.0988408287712</v>
          </cell>
          <cell r="AV78">
            <v>2781.8573328344087</v>
          </cell>
          <cell r="AW78">
            <v>3147.3372968185213</v>
          </cell>
          <cell r="AX78">
            <v>3109.545515445267</v>
          </cell>
          <cell r="AY78">
            <v>2939.5570144953585</v>
          </cell>
          <cell r="AZ78">
            <v>3134.1527705180711</v>
          </cell>
          <cell r="BA78">
            <v>3338.9329138305857</v>
          </cell>
          <cell r="BB78">
            <v>2656.8840636528621</v>
          </cell>
          <cell r="BC78">
            <v>2387.9743139267994</v>
          </cell>
          <cell r="BD78">
            <v>2647.9446254290788</v>
          </cell>
        </row>
        <row r="79">
          <cell r="X79">
            <v>1982.3306729500534</v>
          </cell>
          <cell r="Y79">
            <v>1831.8447835330508</v>
          </cell>
          <cell r="Z79">
            <v>2195.6054591308875</v>
          </cell>
          <cell r="AA79">
            <v>2425.2974275342949</v>
          </cell>
          <cell r="AB79">
            <v>2499.3203693504861</v>
          </cell>
          <cell r="AC79">
            <v>2517.1130386253212</v>
          </cell>
          <cell r="AD79">
            <v>2577.2858974832006</v>
          </cell>
          <cell r="AE79">
            <v>2632.2200280541119</v>
          </cell>
          <cell r="AF79">
            <v>2820.3739697938508</v>
          </cell>
          <cell r="AG79">
            <v>2729.1714558311164</v>
          </cell>
          <cell r="AH79">
            <v>2877.7113539601519</v>
          </cell>
          <cell r="AI79">
            <v>2983.6516701829264</v>
          </cell>
          <cell r="AJ79">
            <v>2818.2070871225924</v>
          </cell>
          <cell r="AK79">
            <v>3127</v>
          </cell>
          <cell r="AL79">
            <v>3499.0846460186303</v>
          </cell>
          <cell r="AM79">
            <v>3615.4499280794535</v>
          </cell>
          <cell r="AN79">
            <v>3550.8175242749526</v>
          </cell>
          <cell r="AO79">
            <v>3245.7525931617365</v>
          </cell>
          <cell r="AP79">
            <v>2887.3204449333057</v>
          </cell>
          <cell r="AQ79">
            <v>2813.1745300934667</v>
          </cell>
          <cell r="AR79">
            <v>2731.4499906760025</v>
          </cell>
          <cell r="AS79">
            <v>2677.1199372759856</v>
          </cell>
          <cell r="AT79">
            <v>2785.5006952098734</v>
          </cell>
          <cell r="AU79">
            <v>2693.4163460258669</v>
          </cell>
          <cell r="AV79">
            <v>2420.7423027964383</v>
          </cell>
          <cell r="AW79">
            <v>2772.1478873239439</v>
          </cell>
          <cell r="AX79">
            <v>2866.2871107330457</v>
          </cell>
          <cell r="AY79">
            <v>2722.0241383753632</v>
          </cell>
          <cell r="AZ79">
            <v>3073.7895835344953</v>
          </cell>
          <cell r="BA79">
            <v>3070.1568036185454</v>
          </cell>
          <cell r="BB79">
            <v>3262.5386054009673</v>
          </cell>
          <cell r="BC79">
            <v>3612.8904992357247</v>
          </cell>
          <cell r="BD79">
            <v>3287.4152856876985</v>
          </cell>
        </row>
        <row r="80">
          <cell r="X80">
            <v>128.43055874180072</v>
          </cell>
          <cell r="Y80">
            <v>135.02187702867309</v>
          </cell>
          <cell r="Z80">
            <v>151.42293972634727</v>
          </cell>
          <cell r="AA80">
            <v>150.3658265007939</v>
          </cell>
          <cell r="AB80">
            <v>156.13332627095835</v>
          </cell>
          <cell r="AC80">
            <v>135.02276624658086</v>
          </cell>
          <cell r="AD80">
            <v>125.61488437265321</v>
          </cell>
          <cell r="AE80">
            <v>132.95089229393824</v>
          </cell>
          <cell r="AF80">
            <v>136.7725601149063</v>
          </cell>
          <cell r="AG80">
            <v>141.58522460569182</v>
          </cell>
          <cell r="AH80">
            <v>151.69609990683583</v>
          </cell>
          <cell r="AI80">
            <v>145.38823254756315</v>
          </cell>
          <cell r="AJ80">
            <v>135.01773382603429</v>
          </cell>
          <cell r="AK80">
            <v>143.99999999999997</v>
          </cell>
          <cell r="AL80">
            <v>163.56991469844127</v>
          </cell>
          <cell r="AM80">
            <v>170.58395962791082</v>
          </cell>
          <cell r="AN80">
            <v>171.22325317288383</v>
          </cell>
          <cell r="AO80">
            <v>167</v>
          </cell>
          <cell r="AP80">
            <v>162.7784632070167</v>
          </cell>
          <cell r="AQ80">
            <v>156.67125624274865</v>
          </cell>
          <cell r="AR80">
            <v>150.50807661917673</v>
          </cell>
          <cell r="AS80">
            <v>154.00000000000003</v>
          </cell>
          <cell r="AT80">
            <v>143.21940204794154</v>
          </cell>
          <cell r="AU80">
            <v>118.89981208929392</v>
          </cell>
          <cell r="AV80">
            <v>111.49481576343651</v>
          </cell>
          <cell r="AW80">
            <v>115.79826086956521</v>
          </cell>
          <cell r="AX80">
            <v>111.97807675207314</v>
          </cell>
          <cell r="AY80">
            <v>105.09980018682629</v>
          </cell>
          <cell r="AZ80">
            <v>104.22994834378125</v>
          </cell>
          <cell r="BA80">
            <v>95.274588841602124</v>
          </cell>
          <cell r="BB80">
            <v>108.2332051449159</v>
          </cell>
          <cell r="BC80">
            <v>123.23337524748891</v>
          </cell>
          <cell r="BD80">
            <v>144.19080245480399</v>
          </cell>
        </row>
        <row r="81">
          <cell r="X81">
            <v>791.01545520082448</v>
          </cell>
          <cell r="Y81">
            <v>833.84549437982139</v>
          </cell>
          <cell r="Z81">
            <v>865.36110422201466</v>
          </cell>
          <cell r="AA81">
            <v>884.64406029384702</v>
          </cell>
          <cell r="AB81">
            <v>872.26871686531888</v>
          </cell>
          <cell r="AC81">
            <v>839.7971593673326</v>
          </cell>
          <cell r="AD81">
            <v>788.81428212035564</v>
          </cell>
          <cell r="AE81">
            <v>834.39754001449035</v>
          </cell>
          <cell r="AF81">
            <v>866.94246720947706</v>
          </cell>
          <cell r="AG81">
            <v>822.05619657793363</v>
          </cell>
          <cell r="AH81">
            <v>836.11227176215516</v>
          </cell>
          <cell r="AI81">
            <v>768.10728353723539</v>
          </cell>
          <cell r="AJ81">
            <v>780.74119599920289</v>
          </cell>
          <cell r="AK81">
            <v>833.93765903307883</v>
          </cell>
          <cell r="AL81">
            <v>886.7107833552401</v>
          </cell>
          <cell r="AM81">
            <v>859.3526134846436</v>
          </cell>
          <cell r="AN81">
            <v>843.70651459135343</v>
          </cell>
          <cell r="AO81">
            <v>909.88766788766793</v>
          </cell>
          <cell r="AP81">
            <v>842.74655037055288</v>
          </cell>
          <cell r="AQ81">
            <v>845.33856815926742</v>
          </cell>
          <cell r="AR81">
            <v>886.06247755491495</v>
          </cell>
          <cell r="AS81">
            <v>956.99685863874322</v>
          </cell>
          <cell r="AT81">
            <v>887.6387887179709</v>
          </cell>
          <cell r="AU81">
            <v>743.93203544139271</v>
          </cell>
          <cell r="AV81">
            <v>645.8870061967317</v>
          </cell>
          <cell r="AW81">
            <v>599.99999999999989</v>
          </cell>
          <cell r="AX81">
            <v>611.97402153526446</v>
          </cell>
          <cell r="AY81">
            <v>624.17586229193319</v>
          </cell>
          <cell r="AZ81">
            <v>679.85089785741911</v>
          </cell>
          <cell r="BA81">
            <v>699.20028653295151</v>
          </cell>
          <cell r="BB81">
            <v>721.75199215730015</v>
          </cell>
          <cell r="BC81">
            <v>778.13657094476309</v>
          </cell>
          <cell r="BD81">
            <v>714.28138535951166</v>
          </cell>
        </row>
        <row r="82">
          <cell r="X82">
            <v>1931.5726855408923</v>
          </cell>
          <cell r="Y82">
            <v>1819.4681276410374</v>
          </cell>
          <cell r="Z82">
            <v>1819.8952963174183</v>
          </cell>
          <cell r="AA82">
            <v>2134.8918237453672</v>
          </cell>
          <cell r="AB82">
            <v>2135.9489196898726</v>
          </cell>
          <cell r="AC82">
            <v>2058.9100560357515</v>
          </cell>
          <cell r="AD82">
            <v>1811.54797443144</v>
          </cell>
          <cell r="AE82">
            <v>1860.7007555363432</v>
          </cell>
          <cell r="AF82">
            <v>1980.5512991134312</v>
          </cell>
          <cell r="AG82">
            <v>2096.657607556745</v>
          </cell>
          <cell r="AH82">
            <v>2017.8963663976333</v>
          </cell>
          <cell r="AI82">
            <v>2086.8428688014678</v>
          </cell>
          <cell r="AJ82">
            <v>2031.1105024045194</v>
          </cell>
          <cell r="AK82">
            <v>2029.6012396694211</v>
          </cell>
          <cell r="AL82">
            <v>1926.6568413872603</v>
          </cell>
          <cell r="AM82">
            <v>1983.8740286264185</v>
          </cell>
          <cell r="AN82">
            <v>1880.6675868844177</v>
          </cell>
          <cell r="AO82">
            <v>1630.0000000000002</v>
          </cell>
          <cell r="AP82">
            <v>1682.0860478593922</v>
          </cell>
          <cell r="AQ82">
            <v>1709.9215480543246</v>
          </cell>
          <cell r="AR82">
            <v>1414.9968829642635</v>
          </cell>
          <cell r="AS82">
            <v>1286</v>
          </cell>
          <cell r="AT82">
            <v>1399.5054856333845</v>
          </cell>
          <cell r="AU82">
            <v>1368.6671058672234</v>
          </cell>
          <cell r="AV82">
            <v>962.31445699556264</v>
          </cell>
          <cell r="AW82">
            <v>1257.3711790393013</v>
          </cell>
          <cell r="AX82">
            <v>1261.8126408155631</v>
          </cell>
          <cell r="AY82">
            <v>1099.4664079083741</v>
          </cell>
          <cell r="AZ82">
            <v>1200.271524174148</v>
          </cell>
          <cell r="BA82">
            <v>1250.3215835140998</v>
          </cell>
          <cell r="BB82">
            <v>1036.9563686060915</v>
          </cell>
          <cell r="BC82">
            <v>971.15086184225311</v>
          </cell>
          <cell r="BD82">
            <v>984.4574637091971</v>
          </cell>
        </row>
        <row r="83">
          <cell r="X83">
            <v>218.62208510033273</v>
          </cell>
          <cell r="Y83">
            <v>236.43141790334093</v>
          </cell>
          <cell r="Z83">
            <v>242.60813301921723</v>
          </cell>
          <cell r="AA83">
            <v>251.14969713900288</v>
          </cell>
          <cell r="AB83">
            <v>241.61252681571099</v>
          </cell>
          <cell r="AC83">
            <v>222.61909858361435</v>
          </cell>
          <cell r="AD83">
            <v>217.28105279356296</v>
          </cell>
          <cell r="AE83">
            <v>221.51344199750795</v>
          </cell>
          <cell r="AF83">
            <v>238.70978614279534</v>
          </cell>
          <cell r="AG83">
            <v>263.57968281835366</v>
          </cell>
          <cell r="AH83">
            <v>289.54537765874414</v>
          </cell>
          <cell r="AI83">
            <v>248.1538234807891</v>
          </cell>
          <cell r="AJ83">
            <v>234.49178399761871</v>
          </cell>
          <cell r="AK83">
            <v>265</v>
          </cell>
          <cell r="AL83">
            <v>288.72321776563751</v>
          </cell>
          <cell r="AM83">
            <v>253.4229417852948</v>
          </cell>
          <cell r="AN83">
            <v>237.32132497797627</v>
          </cell>
          <cell r="AO83">
            <v>226.99999999999997</v>
          </cell>
          <cell r="AP83">
            <v>211.11024656090805</v>
          </cell>
          <cell r="AQ83">
            <v>205.77241053022451</v>
          </cell>
          <cell r="AR83">
            <v>209.24595335402162</v>
          </cell>
          <cell r="AS83">
            <v>252.50000000000006</v>
          </cell>
          <cell r="AT83">
            <v>234.82468349562203</v>
          </cell>
          <cell r="AU83">
            <v>185.16705471774353</v>
          </cell>
          <cell r="AV83">
            <v>190.70310383289089</v>
          </cell>
          <cell r="AW83">
            <v>172.2</v>
          </cell>
          <cell r="AX83">
            <v>187.75934257065543</v>
          </cell>
          <cell r="AY83">
            <v>193.79664486655756</v>
          </cell>
          <cell r="AZ83">
            <v>198.15797960395327</v>
          </cell>
          <cell r="BA83">
            <v>202.70195961234685</v>
          </cell>
          <cell r="BB83">
            <v>245.23815370610694</v>
          </cell>
          <cell r="BC83">
            <v>265.82208533809984</v>
          </cell>
          <cell r="BD83">
            <v>247.04596515408545</v>
          </cell>
        </row>
        <row r="84">
          <cell r="X84">
            <v>118.55685257512636</v>
          </cell>
          <cell r="Y84">
            <v>131.76262360948817</v>
          </cell>
          <cell r="Z84">
            <v>133.59407668064966</v>
          </cell>
          <cell r="AA84">
            <v>138.88393804304263</v>
          </cell>
          <cell r="AB84">
            <v>135.84765730352257</v>
          </cell>
          <cell r="AC84">
            <v>120.63206911012374</v>
          </cell>
          <cell r="AD84">
            <v>113.47965946591773</v>
          </cell>
          <cell r="AE84">
            <v>107.05467343210732</v>
          </cell>
          <cell r="AF84">
            <v>108.06755733724918</v>
          </cell>
          <cell r="AG84">
            <v>112.9223451148237</v>
          </cell>
          <cell r="AH84">
            <v>126.59319042449401</v>
          </cell>
          <cell r="AI84">
            <v>112.18887774850286</v>
          </cell>
          <cell r="AJ84">
            <v>105.84652662112609</v>
          </cell>
          <cell r="AK84">
            <v>116</v>
          </cell>
          <cell r="AL84">
            <v>122.79275034041129</v>
          </cell>
          <cell r="AM84">
            <v>105.34391771081434</v>
          </cell>
          <cell r="AN84">
            <v>100.39573657761649</v>
          </cell>
          <cell r="AO84">
            <v>91.100000000000009</v>
          </cell>
          <cell r="AP84">
            <v>81.25188303013428</v>
          </cell>
          <cell r="AQ84">
            <v>88.021783603069295</v>
          </cell>
          <cell r="AR84">
            <v>93.105905726043318</v>
          </cell>
          <cell r="AS84">
            <v>111.98042366691017</v>
          </cell>
          <cell r="AT84">
            <v>115.5315141440576</v>
          </cell>
          <cell r="AU84">
            <v>86.950620858119606</v>
          </cell>
          <cell r="AV84">
            <v>92.064771860677837</v>
          </cell>
          <cell r="AW84">
            <v>77.100000000000009</v>
          </cell>
          <cell r="AX84">
            <v>87.599211822594796</v>
          </cell>
          <cell r="AY84">
            <v>83.725919295910614</v>
          </cell>
          <cell r="AZ84">
            <v>86.29949010208729</v>
          </cell>
          <cell r="BA84">
            <v>85.772239102489166</v>
          </cell>
          <cell r="BB84">
            <v>93.13436520748084</v>
          </cell>
          <cell r="BC84">
            <v>97.563518564790854</v>
          </cell>
          <cell r="BD84">
            <v>95.866532116149529</v>
          </cell>
        </row>
        <row r="85">
          <cell r="X85">
            <v>54.789455724294974</v>
          </cell>
          <cell r="Y85">
            <v>56.773381394787826</v>
          </cell>
          <cell r="Z85">
            <v>60.4000354790195</v>
          </cell>
          <cell r="AA85">
            <v>62.693189717341831</v>
          </cell>
          <cell r="AB85">
            <v>62.697248115282306</v>
          </cell>
          <cell r="AC85">
            <v>58.16599961257208</v>
          </cell>
          <cell r="AD85">
            <v>56.220714404637974</v>
          </cell>
          <cell r="AE85">
            <v>60.223081775639166</v>
          </cell>
          <cell r="AF85">
            <v>64.59076180040033</v>
          </cell>
          <cell r="AG85">
            <v>66.930484972733723</v>
          </cell>
          <cell r="AH85">
            <v>74.175881307460315</v>
          </cell>
          <cell r="AI85">
            <v>74.285745760995297</v>
          </cell>
          <cell r="AJ85">
            <v>68.66474800356508</v>
          </cell>
          <cell r="AK85">
            <v>71.996704639520701</v>
          </cell>
          <cell r="AL85">
            <v>78.436968233114072</v>
          </cell>
          <cell r="AM85">
            <v>79.0089258545039</v>
          </cell>
          <cell r="AN85">
            <v>65.176657319008271</v>
          </cell>
          <cell r="AO85">
            <v>67.526741649323512</v>
          </cell>
          <cell r="AP85">
            <v>50.991467340391509</v>
          </cell>
          <cell r="AQ85">
            <v>42.043516369535972</v>
          </cell>
          <cell r="AR85">
            <v>42.249324748796163</v>
          </cell>
          <cell r="AS85">
            <v>47.199999999999996</v>
          </cell>
          <cell r="AT85">
            <v>59.214906398381331</v>
          </cell>
          <cell r="AU85">
            <v>43.492222822324287</v>
          </cell>
          <cell r="AV85">
            <v>42.995018877669239</v>
          </cell>
          <cell r="AW85">
            <v>42.5</v>
          </cell>
          <cell r="AX85">
            <v>49.061670269443589</v>
          </cell>
          <cell r="AY85">
            <v>52.833399251986492</v>
          </cell>
          <cell r="AZ85">
            <v>50.424150632155047</v>
          </cell>
          <cell r="BA85">
            <v>50.927243531067091</v>
          </cell>
          <cell r="BB85">
            <v>68.644100641470075</v>
          </cell>
          <cell r="BC85">
            <v>79.597709611232062</v>
          </cell>
          <cell r="BD85">
            <v>117.13946456518325</v>
          </cell>
        </row>
        <row r="86">
          <cell r="X86">
            <v>62.919467623803953</v>
          </cell>
          <cell r="Y86">
            <v>69.916919680982033</v>
          </cell>
          <cell r="Z86">
            <v>67.361584373291663</v>
          </cell>
          <cell r="AA86">
            <v>64.557174352037165</v>
          </cell>
          <cell r="AB86">
            <v>64.994227835018435</v>
          </cell>
          <cell r="AC86">
            <v>57.975944538459906</v>
          </cell>
          <cell r="AD86">
            <v>55.611292613491045</v>
          </cell>
          <cell r="AE86">
            <v>57.234985489425256</v>
          </cell>
          <cell r="AF86">
            <v>62.688490345889321</v>
          </cell>
          <cell r="AG86">
            <v>67.848599515192888</v>
          </cell>
          <cell r="AH86">
            <v>77.714029378698712</v>
          </cell>
          <cell r="AI86">
            <v>67.205931433059533</v>
          </cell>
          <cell r="AJ86">
            <v>58.506483316550749</v>
          </cell>
          <cell r="AK86">
            <v>60.186666666666667</v>
          </cell>
          <cell r="AL86">
            <v>66.685239456493804</v>
          </cell>
          <cell r="AM86">
            <v>61.236781754249328</v>
          </cell>
          <cell r="AN86">
            <v>57.961969433234934</v>
          </cell>
          <cell r="AO86">
            <v>56.822485472888694</v>
          </cell>
          <cell r="AP86">
            <v>47.012940655948256</v>
          </cell>
          <cell r="AQ86">
            <v>41.189407822062329</v>
          </cell>
          <cell r="AR86">
            <v>40.074406559493973</v>
          </cell>
          <cell r="AS86">
            <v>43.3</v>
          </cell>
          <cell r="AT86">
            <v>46.108924435053645</v>
          </cell>
          <cell r="AU86">
            <v>37.438639089986992</v>
          </cell>
          <cell r="AV86">
            <v>36.445393847190239</v>
          </cell>
          <cell r="AW86">
            <v>38.426960652584384</v>
          </cell>
          <cell r="AX86">
            <v>37.932404897644204</v>
          </cell>
          <cell r="AY86">
            <v>33.525133577763363</v>
          </cell>
          <cell r="AZ86">
            <v>28.676156874828184</v>
          </cell>
          <cell r="BA86">
            <v>31.412996929859087</v>
          </cell>
          <cell r="BB86">
            <v>37.105053824982626</v>
          </cell>
          <cell r="BC86">
            <v>41.044231164585291</v>
          </cell>
          <cell r="BD86">
            <v>38.271289963120836</v>
          </cell>
        </row>
        <row r="87">
          <cell r="X87">
            <v>234.98001273849104</v>
          </cell>
          <cell r="Y87">
            <v>244.14932796917606</v>
          </cell>
          <cell r="Z87">
            <v>242.3809965577758</v>
          </cell>
          <cell r="AA87">
            <v>254.7805034960077</v>
          </cell>
          <cell r="AB87">
            <v>251.14742131079427</v>
          </cell>
          <cell r="AC87">
            <v>237.32816845389931</v>
          </cell>
          <cell r="AD87">
            <v>244.13057132985355</v>
          </cell>
          <cell r="AE87">
            <v>253.07663671240181</v>
          </cell>
          <cell r="AF87">
            <v>281.57130919761488</v>
          </cell>
          <cell r="AG87">
            <v>260.23443301298028</v>
          </cell>
          <cell r="AH87">
            <v>279.13409774957131</v>
          </cell>
          <cell r="AI87">
            <v>261.48864651631305</v>
          </cell>
          <cell r="AJ87">
            <v>260.11255594462961</v>
          </cell>
          <cell r="AK87">
            <v>295.51227072565138</v>
          </cell>
          <cell r="AL87">
            <v>279.24564271303535</v>
          </cell>
          <cell r="AM87">
            <v>249.1591384339321</v>
          </cell>
          <cell r="AN87">
            <v>259.61326688970513</v>
          </cell>
          <cell r="AO87">
            <v>254.02409638554218</v>
          </cell>
          <cell r="AP87">
            <v>231.54622671263775</v>
          </cell>
          <cell r="AQ87">
            <v>242.76915385499231</v>
          </cell>
          <cell r="AR87">
            <v>235.86146778340915</v>
          </cell>
          <cell r="AS87">
            <v>283.90529049491738</v>
          </cell>
          <cell r="AT87">
            <v>256.62451547667774</v>
          </cell>
          <cell r="AU87">
            <v>179.18349815917156</v>
          </cell>
          <cell r="AV87">
            <v>174.42094694789859</v>
          </cell>
          <cell r="AW87">
            <v>145.82124452728905</v>
          </cell>
          <cell r="AX87">
            <v>154.1738017549234</v>
          </cell>
          <cell r="AY87">
            <v>150.93352456358289</v>
          </cell>
          <cell r="AZ87">
            <v>156.34109819224426</v>
          </cell>
          <cell r="BA87">
            <v>168.32118960945652</v>
          </cell>
          <cell r="BB87">
            <v>201.03244737999532</v>
          </cell>
          <cell r="BC87">
            <v>213.98873522848089</v>
          </cell>
          <cell r="BD87">
            <v>184.55216376261234</v>
          </cell>
        </row>
        <row r="88">
          <cell r="X88">
            <v>37.383822846973821</v>
          </cell>
          <cell r="Y88">
            <v>42.985850897299549</v>
          </cell>
          <cell r="Z88">
            <v>46.939987356383917</v>
          </cell>
          <cell r="AA88">
            <v>48.640156995919369</v>
          </cell>
          <cell r="AB88">
            <v>54.790411286187279</v>
          </cell>
          <cell r="AC88">
            <v>52.543324444208949</v>
          </cell>
          <cell r="AD88">
            <v>55.8843501953478</v>
          </cell>
          <cell r="AE88">
            <v>52.652898635297085</v>
          </cell>
          <cell r="AF88">
            <v>50.694628080839166</v>
          </cell>
          <cell r="AG88">
            <v>47.300771088826892</v>
          </cell>
          <cell r="AH88">
            <v>55.007325960421149</v>
          </cell>
          <cell r="AI88">
            <v>51.038345076826246</v>
          </cell>
          <cell r="AJ88">
            <v>51.667707951697523</v>
          </cell>
          <cell r="AK88">
            <v>58.515555555555551</v>
          </cell>
          <cell r="AL88">
            <v>60.370462631550687</v>
          </cell>
          <cell r="AM88">
            <v>49.754170759698503</v>
          </cell>
          <cell r="AN88">
            <v>42.469075891542232</v>
          </cell>
          <cell r="AO88">
            <v>38.37096774193548</v>
          </cell>
          <cell r="AP88">
            <v>29.147599941897912</v>
          </cell>
          <cell r="AQ88">
            <v>28.323583271845202</v>
          </cell>
          <cell r="AR88">
            <v>26.186817999116819</v>
          </cell>
          <cell r="AS88">
            <v>28.584545454545452</v>
          </cell>
          <cell r="AT88">
            <v>28.017833710221659</v>
          </cell>
          <cell r="AU88">
            <v>22.254938298931453</v>
          </cell>
          <cell r="AV88">
            <v>22.814605032271295</v>
          </cell>
          <cell r="AW88">
            <v>19.559999999999992</v>
          </cell>
          <cell r="AX88">
            <v>19.703521838837396</v>
          </cell>
          <cell r="AY88">
            <v>21.479931108496721</v>
          </cell>
          <cell r="AZ88">
            <v>20.269595412722722</v>
          </cell>
          <cell r="BA88">
            <v>20.694702246705127</v>
          </cell>
          <cell r="BB88">
            <v>31.358124686700148</v>
          </cell>
          <cell r="BC88">
            <v>34.279602404968472</v>
          </cell>
          <cell r="BD88">
            <v>29.948568075305872</v>
          </cell>
        </row>
        <row r="89">
          <cell r="X89">
            <v>33.863505680901575</v>
          </cell>
          <cell r="Y89">
            <v>39.628355216449521</v>
          </cell>
          <cell r="Z89">
            <v>43.311356676392826</v>
          </cell>
          <cell r="AA89">
            <v>45.434393503358493</v>
          </cell>
          <cell r="AB89">
            <v>41.18066817037402</v>
          </cell>
          <cell r="AC89">
            <v>38.691516089207084</v>
          </cell>
          <cell r="AD89">
            <v>34.793804965135031</v>
          </cell>
          <cell r="AE89">
            <v>38.845725201786685</v>
          </cell>
          <cell r="AF89">
            <v>43.649220105879614</v>
          </cell>
          <cell r="AG89">
            <v>48.376910834473627</v>
          </cell>
          <cell r="AH89">
            <v>54.115808203994426</v>
          </cell>
          <cell r="AI89">
            <v>44.376519847417413</v>
          </cell>
          <cell r="AJ89">
            <v>42.585114115551526</v>
          </cell>
          <cell r="AK89">
            <v>48.102127659574457</v>
          </cell>
          <cell r="AL89">
            <v>46.958868293422434</v>
          </cell>
          <cell r="AM89">
            <v>38.107648163328278</v>
          </cell>
          <cell r="AN89">
            <v>33.037569992500757</v>
          </cell>
          <cell r="AO89">
            <v>35.217157302454538</v>
          </cell>
          <cell r="AP89">
            <v>29.981286408877981</v>
          </cell>
          <cell r="AQ89">
            <v>28.325923449223243</v>
          </cell>
          <cell r="AR89">
            <v>27.318702085676964</v>
          </cell>
          <cell r="AS89">
            <v>32.499999999999993</v>
          </cell>
          <cell r="AT89">
            <v>31.551169524195082</v>
          </cell>
          <cell r="AU89">
            <v>20.57435194335509</v>
          </cell>
          <cell r="AV89">
            <v>22.717445750196447</v>
          </cell>
          <cell r="AW89">
            <v>17.400000000000006</v>
          </cell>
          <cell r="AX89">
            <v>20.469251695287955</v>
          </cell>
          <cell r="AY89">
            <v>23.023199689475078</v>
          </cell>
          <cell r="AZ89">
            <v>27.627644290160163</v>
          </cell>
          <cell r="BA89">
            <v>27.879226930194235</v>
          </cell>
          <cell r="BB89">
            <v>34.222387163537746</v>
          </cell>
          <cell r="BC89">
            <v>39.043348927987246</v>
          </cell>
          <cell r="BD89">
            <v>38.775687267742256</v>
          </cell>
        </row>
      </sheetData>
      <sheetData sheetId="18"/>
      <sheetData sheetId="19"/>
      <sheetData sheetId="20" refreshError="1"/>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Asmt4"/>
    </sheetNames>
    <sheetDataSet>
      <sheetData sheetId="0" refreshError="1"/>
      <sheetData sheetId="1" refreshError="1">
        <row r="84">
          <cell r="AE84">
            <v>175.813536</v>
          </cell>
        </row>
        <row r="85">
          <cell r="AE85">
            <v>100.9068292</v>
          </cell>
        </row>
        <row r="86">
          <cell r="AE86">
            <v>26.450506399999998</v>
          </cell>
        </row>
        <row r="87">
          <cell r="AE87">
            <v>68.653875599999992</v>
          </cell>
        </row>
        <row r="88">
          <cell r="AE88">
            <v>202.15281119999997</v>
          </cell>
        </row>
        <row r="89">
          <cell r="AE89">
            <v>38.495548799999995</v>
          </cell>
        </row>
        <row r="90">
          <cell r="AE90">
            <v>114.11706959999999</v>
          </cell>
        </row>
        <row r="91">
          <cell r="AE91">
            <v>427.02851879999997</v>
          </cell>
        </row>
        <row r="92">
          <cell r="AE92">
            <v>108.93594759999999</v>
          </cell>
        </row>
        <row r="93">
          <cell r="AE93">
            <v>113.86799359999999</v>
          </cell>
        </row>
        <row r="94">
          <cell r="AE94">
            <v>445.69898280000001</v>
          </cell>
        </row>
        <row r="95">
          <cell r="AE95">
            <v>110.82210119999999</v>
          </cell>
        </row>
        <row r="96">
          <cell r="AE96">
            <v>83.661216399999986</v>
          </cell>
        </row>
        <row r="97">
          <cell r="AE97">
            <v>106.67549759999999</v>
          </cell>
        </row>
        <row r="98">
          <cell r="AE98">
            <v>43.329670399999998</v>
          </cell>
        </row>
        <row r="99">
          <cell r="AE99">
            <v>149.9430696</v>
          </cell>
        </row>
        <row r="100">
          <cell r="AE100">
            <v>21.677459599999995</v>
          </cell>
        </row>
        <row r="101">
          <cell r="AE101">
            <v>25.476380399999996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eia.gov/totalenergy/data/month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G79"/>
  <sheetViews>
    <sheetView workbookViewId="0">
      <selection activeCell="C16" sqref="C16"/>
    </sheetView>
  </sheetViews>
  <sheetFormatPr defaultRowHeight="12.75" x14ac:dyDescent="0.2"/>
  <cols>
    <col min="2" max="2" width="26.140625" customWidth="1"/>
  </cols>
  <sheetData>
    <row r="6" spans="1:7" x14ac:dyDescent="0.2">
      <c r="A6" s="101" t="s">
        <v>379</v>
      </c>
      <c r="B6" s="101"/>
      <c r="C6" s="101"/>
      <c r="D6" s="101"/>
    </row>
    <row r="8" spans="1:7" x14ac:dyDescent="0.2">
      <c r="B8" t="s">
        <v>367</v>
      </c>
      <c r="C8">
        <f>MECS_Annual_Fuel1!$L$6</f>
        <v>809.47920683727943</v>
      </c>
      <c r="D8" s="52" t="s">
        <v>346</v>
      </c>
      <c r="G8" s="52" t="s">
        <v>347</v>
      </c>
    </row>
    <row r="10" spans="1:7" x14ac:dyDescent="0.2">
      <c r="B10" t="s">
        <v>368</v>
      </c>
      <c r="C10" t="e">
        <f>#REF!</f>
        <v>#REF!</v>
      </c>
      <c r="D10" s="52" t="s">
        <v>348</v>
      </c>
      <c r="G10" s="52" t="s">
        <v>349</v>
      </c>
    </row>
    <row r="11" spans="1:7" x14ac:dyDescent="0.2">
      <c r="D11" s="52"/>
      <c r="G11" s="52"/>
    </row>
    <row r="12" spans="1:7" x14ac:dyDescent="0.2">
      <c r="A12" s="101" t="s">
        <v>382</v>
      </c>
      <c r="D12" s="52"/>
      <c r="G12" s="52"/>
    </row>
    <row r="13" spans="1:7" x14ac:dyDescent="0.2">
      <c r="D13" s="52"/>
      <c r="G13" s="52"/>
    </row>
    <row r="14" spans="1:7" x14ac:dyDescent="0.2">
      <c r="B14" t="s">
        <v>378</v>
      </c>
      <c r="C14" s="52" t="s">
        <v>409</v>
      </c>
      <c r="D14" s="52"/>
      <c r="G14" s="52"/>
    </row>
    <row r="15" spans="1:7" x14ac:dyDescent="0.2">
      <c r="C15" s="52" t="s">
        <v>410</v>
      </c>
      <c r="D15" s="52"/>
      <c r="G15" s="52"/>
    </row>
    <row r="16" spans="1:7" x14ac:dyDescent="0.2">
      <c r="D16" s="52"/>
      <c r="G16" s="52"/>
    </row>
    <row r="17" spans="2:7" x14ac:dyDescent="0.2">
      <c r="B17" t="s">
        <v>380</v>
      </c>
      <c r="C17" t="s">
        <v>407</v>
      </c>
      <c r="D17" s="52"/>
      <c r="G17" s="52"/>
    </row>
    <row r="18" spans="2:7" x14ac:dyDescent="0.2">
      <c r="C18" s="52" t="s">
        <v>411</v>
      </c>
      <c r="D18" s="52"/>
    </row>
    <row r="19" spans="2:7" x14ac:dyDescent="0.2">
      <c r="C19" s="52" t="s">
        <v>408</v>
      </c>
      <c r="G19" s="52"/>
    </row>
    <row r="20" spans="2:7" x14ac:dyDescent="0.2">
      <c r="C20" t="s">
        <v>381</v>
      </c>
    </row>
    <row r="23" spans="2:7" x14ac:dyDescent="0.2">
      <c r="B23" s="52" t="s">
        <v>351</v>
      </c>
      <c r="C23" s="52" t="s">
        <v>383</v>
      </c>
    </row>
    <row r="24" spans="2:7" x14ac:dyDescent="0.2">
      <c r="C24" s="52" t="s">
        <v>353</v>
      </c>
    </row>
    <row r="25" spans="2:7" x14ac:dyDescent="0.2">
      <c r="C25" s="52" t="s">
        <v>354</v>
      </c>
    </row>
    <row r="26" spans="2:7" x14ac:dyDescent="0.2">
      <c r="C26" s="52" t="s">
        <v>355</v>
      </c>
    </row>
    <row r="28" spans="2:7" x14ac:dyDescent="0.2">
      <c r="B28" s="52" t="s">
        <v>356</v>
      </c>
      <c r="C28" s="52" t="s">
        <v>357</v>
      </c>
    </row>
    <row r="29" spans="2:7" x14ac:dyDescent="0.2">
      <c r="C29" s="52" t="s">
        <v>358</v>
      </c>
    </row>
    <row r="30" spans="2:7" x14ac:dyDescent="0.2">
      <c r="C30" s="52" t="s">
        <v>361</v>
      </c>
    </row>
    <row r="31" spans="2:7" x14ac:dyDescent="0.2">
      <c r="C31" s="52" t="s">
        <v>362</v>
      </c>
    </row>
    <row r="32" spans="2:7" x14ac:dyDescent="0.2">
      <c r="C32" s="52" t="s">
        <v>363</v>
      </c>
    </row>
    <row r="33" spans="2:6" x14ac:dyDescent="0.2">
      <c r="C33" s="52" t="s">
        <v>364</v>
      </c>
    </row>
    <row r="34" spans="2:6" x14ac:dyDescent="0.2">
      <c r="C34" s="52" t="s">
        <v>365</v>
      </c>
    </row>
    <row r="35" spans="2:6" x14ac:dyDescent="0.2">
      <c r="C35" s="52" t="s">
        <v>366</v>
      </c>
    </row>
    <row r="36" spans="2:6" x14ac:dyDescent="0.2">
      <c r="C36" s="52" t="s">
        <v>414</v>
      </c>
    </row>
    <row r="38" spans="2:6" x14ac:dyDescent="0.2">
      <c r="B38" t="s">
        <v>369</v>
      </c>
      <c r="C38" s="52" t="s">
        <v>417</v>
      </c>
    </row>
    <row r="39" spans="2:6" x14ac:dyDescent="0.2">
      <c r="C39" t="s">
        <v>370</v>
      </c>
    </row>
    <row r="40" spans="2:6" x14ac:dyDescent="0.2">
      <c r="C40" t="s">
        <v>371</v>
      </c>
    </row>
    <row r="41" spans="2:6" x14ac:dyDescent="0.2">
      <c r="C41" t="s">
        <v>372</v>
      </c>
    </row>
    <row r="43" spans="2:6" x14ac:dyDescent="0.2">
      <c r="B43" t="s">
        <v>373</v>
      </c>
      <c r="C43" t="s">
        <v>374</v>
      </c>
      <c r="F43" t="s">
        <v>369</v>
      </c>
    </row>
    <row r="44" spans="2:6" x14ac:dyDescent="0.2">
      <c r="C44" t="s">
        <v>375</v>
      </c>
    </row>
    <row r="45" spans="2:6" x14ac:dyDescent="0.2">
      <c r="C45" t="s">
        <v>376</v>
      </c>
    </row>
    <row r="46" spans="2:6" x14ac:dyDescent="0.2">
      <c r="C46" t="s">
        <v>377</v>
      </c>
    </row>
    <row r="48" spans="2:6" x14ac:dyDescent="0.2">
      <c r="C48" t="s">
        <v>384</v>
      </c>
    </row>
    <row r="49" spans="2:3" x14ac:dyDescent="0.2">
      <c r="C49" t="s">
        <v>385</v>
      </c>
    </row>
    <row r="50" spans="2:3" x14ac:dyDescent="0.2">
      <c r="C50" t="s">
        <v>386</v>
      </c>
    </row>
    <row r="51" spans="2:3" x14ac:dyDescent="0.2">
      <c r="C51" t="s">
        <v>387</v>
      </c>
    </row>
    <row r="52" spans="2:3" x14ac:dyDescent="0.2">
      <c r="C52" t="s">
        <v>388</v>
      </c>
    </row>
    <row r="54" spans="2:3" x14ac:dyDescent="0.2">
      <c r="B54" t="s">
        <v>395</v>
      </c>
      <c r="C54" t="s">
        <v>396</v>
      </c>
    </row>
    <row r="55" spans="2:3" x14ac:dyDescent="0.2">
      <c r="C55" t="s">
        <v>398</v>
      </c>
    </row>
    <row r="56" spans="2:3" x14ac:dyDescent="0.2">
      <c r="C56" t="s">
        <v>404</v>
      </c>
    </row>
    <row r="58" spans="2:3" x14ac:dyDescent="0.2">
      <c r="B58" t="s">
        <v>393</v>
      </c>
      <c r="C58" t="s">
        <v>394</v>
      </c>
    </row>
    <row r="59" spans="2:3" x14ac:dyDescent="0.2">
      <c r="C59" t="s">
        <v>389</v>
      </c>
    </row>
    <row r="60" spans="2:3" x14ac:dyDescent="0.2">
      <c r="C60" t="s">
        <v>390</v>
      </c>
    </row>
    <row r="61" spans="2:3" x14ac:dyDescent="0.2">
      <c r="C61" t="s">
        <v>391</v>
      </c>
    </row>
    <row r="62" spans="2:3" x14ac:dyDescent="0.2">
      <c r="C62" t="s">
        <v>392</v>
      </c>
    </row>
    <row r="64" spans="2:3" x14ac:dyDescent="0.2">
      <c r="B64" t="s">
        <v>399</v>
      </c>
      <c r="C64" t="s">
        <v>400</v>
      </c>
    </row>
    <row r="65" spans="2:7" x14ac:dyDescent="0.2">
      <c r="C65" t="s">
        <v>401</v>
      </c>
    </row>
    <row r="66" spans="2:7" x14ac:dyDescent="0.2">
      <c r="C66" t="s">
        <v>402</v>
      </c>
    </row>
    <row r="67" spans="2:7" x14ac:dyDescent="0.2">
      <c r="C67" t="s">
        <v>403</v>
      </c>
    </row>
    <row r="69" spans="2:7" x14ac:dyDescent="0.2">
      <c r="B69" t="s">
        <v>406</v>
      </c>
      <c r="C69" t="s">
        <v>396</v>
      </c>
    </row>
    <row r="70" spans="2:7" x14ac:dyDescent="0.2">
      <c r="C70" t="s">
        <v>405</v>
      </c>
    </row>
    <row r="71" spans="2:7" x14ac:dyDescent="0.2">
      <c r="C71" t="s">
        <v>404</v>
      </c>
    </row>
    <row r="73" spans="2:7" x14ac:dyDescent="0.2">
      <c r="B73" t="s">
        <v>418</v>
      </c>
      <c r="C73" t="s">
        <v>419</v>
      </c>
    </row>
    <row r="74" spans="2:7" x14ac:dyDescent="0.2">
      <c r="C74" t="s">
        <v>420</v>
      </c>
    </row>
    <row r="75" spans="2:7" x14ac:dyDescent="0.2">
      <c r="C75" t="s">
        <v>421</v>
      </c>
    </row>
    <row r="76" spans="2:7" x14ac:dyDescent="0.2">
      <c r="C76" t="s">
        <v>422</v>
      </c>
      <c r="G76" t="s">
        <v>425</v>
      </c>
    </row>
    <row r="79" spans="2:7" x14ac:dyDescent="0.2">
      <c r="B79" t="s">
        <v>423</v>
      </c>
      <c r="C79" t="s">
        <v>424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3:CI129"/>
  <sheetViews>
    <sheetView topLeftCell="AL1" workbookViewId="0">
      <selection activeCell="BA34" sqref="BA34"/>
    </sheetView>
  </sheetViews>
  <sheetFormatPr defaultRowHeight="12.75" x14ac:dyDescent="0.2"/>
  <cols>
    <col min="6" max="13" width="11.7109375" customWidth="1"/>
    <col min="28" max="48" width="9.5703125" bestFit="1" customWidth="1"/>
    <col min="49" max="54" width="9.5703125" customWidth="1"/>
    <col min="55" max="57" width="9.5703125" bestFit="1" customWidth="1"/>
  </cols>
  <sheetData>
    <row r="3" spans="4:87" x14ac:dyDescent="0.2">
      <c r="BR3" t="s">
        <v>135</v>
      </c>
    </row>
    <row r="6" spans="4:87" x14ac:dyDescent="0.2">
      <c r="D6" t="s">
        <v>99</v>
      </c>
      <c r="G6" s="67" t="s">
        <v>412</v>
      </c>
      <c r="H6" s="68"/>
      <c r="I6" s="68"/>
      <c r="J6" s="68"/>
      <c r="K6" s="68"/>
      <c r="L6" s="68"/>
      <c r="M6" s="68"/>
      <c r="N6" s="68"/>
      <c r="O6" s="68"/>
      <c r="P6" s="68"/>
      <c r="Q6" s="68"/>
      <c r="R6" s="68"/>
      <c r="S6" s="68"/>
      <c r="T6" s="68"/>
      <c r="U6" s="68"/>
      <c r="V6" s="69" t="s">
        <v>256</v>
      </c>
      <c r="W6" s="70"/>
      <c r="X6" s="70"/>
      <c r="Z6" t="s">
        <v>120</v>
      </c>
      <c r="AC6" t="s">
        <v>99</v>
      </c>
    </row>
    <row r="7" spans="4:87" x14ac:dyDescent="0.2">
      <c r="G7">
        <v>1970</v>
      </c>
      <c r="H7">
        <v>1971</v>
      </c>
      <c r="I7">
        <v>1972</v>
      </c>
      <c r="J7">
        <v>1973</v>
      </c>
      <c r="K7">
        <v>1974</v>
      </c>
      <c r="L7">
        <v>1975</v>
      </c>
      <c r="M7">
        <v>1976</v>
      </c>
      <c r="N7">
        <v>1977</v>
      </c>
      <c r="O7">
        <v>1978</v>
      </c>
      <c r="P7">
        <v>1979</v>
      </c>
      <c r="Q7">
        <v>1980</v>
      </c>
      <c r="R7">
        <v>1981</v>
      </c>
      <c r="S7">
        <v>1982</v>
      </c>
      <c r="T7">
        <v>1983</v>
      </c>
      <c r="U7">
        <v>1984</v>
      </c>
      <c r="V7">
        <v>1985</v>
      </c>
      <c r="W7">
        <v>1986</v>
      </c>
      <c r="X7">
        <v>1987</v>
      </c>
      <c r="AB7">
        <v>1987</v>
      </c>
      <c r="AC7">
        <v>1988</v>
      </c>
      <c r="AD7">
        <f t="shared" ref="AD7:AV7" si="0">AC7+1</f>
        <v>1989</v>
      </c>
      <c r="AE7">
        <f t="shared" si="0"/>
        <v>1990</v>
      </c>
      <c r="AF7">
        <f t="shared" si="0"/>
        <v>1991</v>
      </c>
      <c r="AG7">
        <f t="shared" si="0"/>
        <v>1992</v>
      </c>
      <c r="AH7">
        <f t="shared" si="0"/>
        <v>1993</v>
      </c>
      <c r="AI7" s="3">
        <f t="shared" si="0"/>
        <v>1994</v>
      </c>
      <c r="AJ7">
        <f t="shared" si="0"/>
        <v>1995</v>
      </c>
      <c r="AK7">
        <f t="shared" si="0"/>
        <v>1996</v>
      </c>
      <c r="AL7">
        <f t="shared" si="0"/>
        <v>1997</v>
      </c>
      <c r="AM7" s="31">
        <f t="shared" si="0"/>
        <v>1998</v>
      </c>
      <c r="AN7">
        <f t="shared" si="0"/>
        <v>1999</v>
      </c>
      <c r="AO7">
        <f t="shared" si="0"/>
        <v>2000</v>
      </c>
      <c r="AP7">
        <f t="shared" si="0"/>
        <v>2001</v>
      </c>
      <c r="AQ7">
        <f t="shared" si="0"/>
        <v>2002</v>
      </c>
      <c r="AR7">
        <f t="shared" si="0"/>
        <v>2003</v>
      </c>
      <c r="AS7">
        <f t="shared" si="0"/>
        <v>2004</v>
      </c>
      <c r="AT7">
        <f t="shared" si="0"/>
        <v>2005</v>
      </c>
      <c r="AU7">
        <f t="shared" si="0"/>
        <v>2006</v>
      </c>
      <c r="AV7">
        <f t="shared" si="0"/>
        <v>2007</v>
      </c>
      <c r="AW7">
        <f>AV7+1</f>
        <v>2008</v>
      </c>
      <c r="AX7">
        <f>AW7+1</f>
        <v>2009</v>
      </c>
      <c r="AY7">
        <f>AX7+1</f>
        <v>2010</v>
      </c>
      <c r="AZ7">
        <v>2011</v>
      </c>
      <c r="BA7">
        <v>2012</v>
      </c>
      <c r="BB7">
        <v>2013</v>
      </c>
      <c r="BC7">
        <v>2014</v>
      </c>
      <c r="BD7">
        <v>2015</v>
      </c>
      <c r="BE7">
        <v>2016</v>
      </c>
      <c r="BF7">
        <v>2017</v>
      </c>
      <c r="BR7" s="52" t="s">
        <v>350</v>
      </c>
    </row>
    <row r="8" spans="4:87" x14ac:dyDescent="0.2">
      <c r="F8" t="s">
        <v>12</v>
      </c>
      <c r="G8" s="66">
        <f>elechap3b!X188</f>
        <v>118.012</v>
      </c>
      <c r="H8" s="66">
        <f>elechap3b!Y188</f>
        <v>118.377</v>
      </c>
      <c r="I8" s="66">
        <f>elechap3b!Z188</f>
        <v>120.59500000000001</v>
      </c>
      <c r="J8" s="66">
        <f>elechap3b!AA188</f>
        <v>125.497</v>
      </c>
      <c r="K8" s="66">
        <f>elechap3b!AB188</f>
        <v>129.32599999999999</v>
      </c>
      <c r="L8" s="66">
        <f>elechap3b!AC188</f>
        <v>134.33099999999999</v>
      </c>
      <c r="M8" s="66">
        <f>elechap3b!AD188</f>
        <v>137.11600000000001</v>
      </c>
      <c r="N8" s="66">
        <f>elechap3b!AE188</f>
        <v>140.90299999999999</v>
      </c>
      <c r="O8" s="66">
        <f>elechap3b!AF188</f>
        <v>142.58099999999999</v>
      </c>
      <c r="P8" s="66">
        <f>elechap3b!AG188</f>
        <v>139.40300000000002</v>
      </c>
      <c r="Q8" s="66">
        <f>elechap3b!AH188</f>
        <v>145.04899999999998</v>
      </c>
      <c r="R8" s="66">
        <f>elechap3b!AI188</f>
        <v>146.20400000000001</v>
      </c>
      <c r="S8" s="66">
        <f>elechap3b!AJ188</f>
        <v>161.75099999999998</v>
      </c>
      <c r="T8" s="66">
        <f>elechap3b!AK188</f>
        <v>154.989</v>
      </c>
      <c r="U8" s="66">
        <f>elechap3b!AL188</f>
        <v>159.596</v>
      </c>
      <c r="V8" s="66">
        <f>elechap3b!AM188</f>
        <v>159.61404240000002</v>
      </c>
      <c r="W8" s="71">
        <f>elechap3b!AN188</f>
        <v>162.34671320000001</v>
      </c>
      <c r="X8" s="71">
        <f>elechap3b!AO188</f>
        <v>175.813536</v>
      </c>
      <c r="Y8" s="7"/>
      <c r="Z8" s="38">
        <f>AB8/X8</f>
        <v>1.0007355224344046</v>
      </c>
      <c r="AA8" s="7"/>
      <c r="AB8" s="5">
        <f>[5]Final_quant._elec_w_ASM_87!CB95</f>
        <v>175.94285079999997</v>
      </c>
      <c r="AC8" s="5">
        <f>[5]Final_quant._elec_w_ASM_87!CC95</f>
        <v>180.49855319999998</v>
      </c>
      <c r="AD8" s="5">
        <f>[5]Final_quant._elec_w_ASM_87!CD95</f>
        <v>181.92203960000001</v>
      </c>
      <c r="AE8" s="5">
        <f>[5]Final_quant._elec_w_ASM_87!CE95</f>
        <v>183.31550040000002</v>
      </c>
      <c r="AF8" s="5">
        <f>[5]Final_quant._elec_w_ASM_87!CF95</f>
        <v>188.50788200000002</v>
      </c>
      <c r="AG8" s="5">
        <f>[5]Final_quant._elec_w_ASM_87!CG95</f>
        <v>195.81126800000001</v>
      </c>
      <c r="AH8" s="5">
        <f>[5]Final_quant._elec_w_ASM_87!CH95</f>
        <v>202.10436079999999</v>
      </c>
      <c r="AI8" s="5">
        <f>[5]Final_quant._elec_w_ASM_87!CI95</f>
        <v>206.38096160000001</v>
      </c>
      <c r="AJ8" s="5">
        <f>[5]Final_quant._elec_w_ASM_87!CJ95</f>
        <v>215.29992960000001</v>
      </c>
      <c r="AK8" s="5">
        <f>[5]Final_quant._elec_w_ASM_87!CK95</f>
        <v>223.774314</v>
      </c>
      <c r="AL8" s="5">
        <f>[5]Final_quant._elec_w_ASM_87!CL95</f>
        <v>232.942692376</v>
      </c>
      <c r="AM8" s="5">
        <f>[5]Final_quant._elec_w_ASM_87!CM95</f>
        <v>237.41109875599997</v>
      </c>
      <c r="AN8" s="5">
        <f>[5]Final_quant._elec_w_ASM_87!CN95</f>
        <v>233.76357863199999</v>
      </c>
      <c r="AO8" s="5">
        <f>[5]Final_quant._elec_w_ASM_87!CO95</f>
        <v>248.33018456799999</v>
      </c>
      <c r="AP8" s="5">
        <f>[5]Final_quant._elec_w_ASM_87!CP95</f>
        <v>266.44860061600002</v>
      </c>
      <c r="AQ8" s="5">
        <f>[5]Final_quant._elec_w_ASM_87!CQ95</f>
        <v>257.77662047199999</v>
      </c>
      <c r="AR8" s="5">
        <f>[5]Final_quant._elec_w_ASM_87!CR95</f>
        <v>255.32842858399999</v>
      </c>
      <c r="AS8" s="5">
        <f>[5]Final_quant._elec_w_ASM_87!CS95</f>
        <v>287.10198594799999</v>
      </c>
      <c r="AT8" s="5">
        <f>[5]Final_quant._elec_w_ASM_87!CT95</f>
        <v>300.75193419999994</v>
      </c>
      <c r="AU8" s="5">
        <f>[5]Final_quant._elec_w_ASM_87!CU95</f>
        <v>301.63248268799998</v>
      </c>
      <c r="AV8" s="5">
        <f>[5]Final_quant._elec_w_ASM_87!CV95</f>
        <v>307.48225773999997</v>
      </c>
      <c r="AW8" s="5">
        <f>[5]Final_quant._elec_w_ASM_87!CW95</f>
        <v>334.69119032399999</v>
      </c>
      <c r="AX8" s="5">
        <f>[5]Final_quant._elec_w_ASM_87!CX95</f>
        <v>313.91500369999994</v>
      </c>
      <c r="AY8" s="5">
        <f>[5]Final_quant._elec_w_ASM_87!CY95</f>
        <v>321.26902378</v>
      </c>
      <c r="AZ8" s="5">
        <f>[5]Final_quant._elec_w_ASM_87!CZ95</f>
        <v>340.83685742799997</v>
      </c>
      <c r="BA8" s="5">
        <f>[5]Final_quant._elec_w_ASM_87!DA95</f>
        <v>299.93102747199998</v>
      </c>
      <c r="BB8" s="5">
        <f>[5]Final_quant._elec_w_ASM_87!DB95</f>
        <v>290.75231755999999</v>
      </c>
      <c r="BC8" s="5">
        <f>[5]Final_quant._elec_w_ASM_87!DC95</f>
        <v>293.20092571200001</v>
      </c>
      <c r="BD8" s="5">
        <f>[5]Final_quant._elec_w_ASM_87!DD95</f>
        <v>280.58946742799998</v>
      </c>
      <c r="BE8" s="5">
        <f>[5]Final_quant._elec_w_ASM_87!DE95</f>
        <v>285.16332166799998</v>
      </c>
      <c r="BF8" s="5">
        <f>[5]Final_quant._elec_w_ASM_87!DF95</f>
        <v>281.55283880399998</v>
      </c>
    </row>
    <row r="9" spans="4:87" x14ac:dyDescent="0.2">
      <c r="F9" t="s">
        <v>13</v>
      </c>
      <c r="G9" s="66">
        <f>elechap3b!X189</f>
        <v>84.37299999999999</v>
      </c>
      <c r="H9" s="66">
        <f>elechap3b!Y189</f>
        <v>88.457999999999998</v>
      </c>
      <c r="I9" s="66">
        <f>elechap3b!Z189</f>
        <v>96.656999999999996</v>
      </c>
      <c r="J9" s="66">
        <f>elechap3b!AA189</f>
        <v>100.96899999999999</v>
      </c>
      <c r="K9" s="66">
        <f>elechap3b!AB189</f>
        <v>93.606000000000009</v>
      </c>
      <c r="L9" s="66">
        <f>elechap3b!AC189</f>
        <v>92.954999999999998</v>
      </c>
      <c r="M9" s="66">
        <f>elechap3b!AD189</f>
        <v>97.764999999999986</v>
      </c>
      <c r="N9" s="66">
        <f>elechap3b!AE189</f>
        <v>96.554999999999993</v>
      </c>
      <c r="O9" s="66">
        <f>elechap3b!AF189</f>
        <v>96.180999999999997</v>
      </c>
      <c r="P9" s="66">
        <f>elechap3b!AG189</f>
        <v>94.64800000000001</v>
      </c>
      <c r="Q9" s="66">
        <f>elechap3b!AH189</f>
        <v>91.668000000000006</v>
      </c>
      <c r="R9" s="66">
        <f>elechap3b!AI189</f>
        <v>91.216999999999999</v>
      </c>
      <c r="S9" s="66">
        <f>elechap3b!AJ189</f>
        <v>85.969000000000008</v>
      </c>
      <c r="T9" s="66">
        <f>elechap3b!AK189</f>
        <v>93.38000000000001</v>
      </c>
      <c r="U9" s="66">
        <f>elechap3b!AL189</f>
        <v>95.377999999999986</v>
      </c>
      <c r="V9" s="66">
        <f>elechap3b!AM189</f>
        <v>91.731961199999986</v>
      </c>
      <c r="W9" s="71">
        <f>elechap3b!AN189</f>
        <v>94.829033600000017</v>
      </c>
      <c r="X9" s="71">
        <f>elechap3b!AO189</f>
        <v>106.82596680000002</v>
      </c>
      <c r="Y9" s="7"/>
      <c r="Z9" s="38">
        <f t="shared" ref="Z9:Z25" si="1">AB9/X9</f>
        <v>0.94459083519382658</v>
      </c>
      <c r="AA9" s="7"/>
      <c r="AB9" s="5">
        <f>[5]Final_quant._elec_w_ASM_87!CB96</f>
        <v>100.9068292</v>
      </c>
      <c r="AC9" s="5">
        <f>[5]Final_quant._elec_w_ASM_87!CC96</f>
        <v>101.7052372</v>
      </c>
      <c r="AD9" s="5">
        <f>[5]Final_quant._elec_w_ASM_87!CD96</f>
        <v>103.4306856</v>
      </c>
      <c r="AE9" s="5">
        <f>[5]Final_quant._elec_w_ASM_87!CE96</f>
        <v>99.811577199999988</v>
      </c>
      <c r="AF9" s="5">
        <f>[5]Final_quant._elec_w_ASM_87!CF96</f>
        <v>101.02556680000001</v>
      </c>
      <c r="AG9" s="5">
        <f>[5]Final_quant._elec_w_ASM_87!CG96</f>
        <v>106.6154464</v>
      </c>
      <c r="AH9" s="5">
        <f>[5]Final_quant._elec_w_ASM_87!CH96</f>
        <v>111.71092719999999</v>
      </c>
      <c r="AI9" s="5">
        <f>[5]Final_quant._elec_w_ASM_87!CI96</f>
        <v>117.0374004</v>
      </c>
      <c r="AJ9" s="5">
        <f>[5]Final_quant._elec_w_ASM_87!CJ96</f>
        <v>118.22307040000001</v>
      </c>
      <c r="AK9" s="5">
        <f>[5]Final_quant._elec_w_ASM_87!CK96</f>
        <v>115.34846039999999</v>
      </c>
      <c r="AL9" s="5">
        <f>[5]Final_quant._elec_w_ASM_87!CL96</f>
        <v>113.555870664</v>
      </c>
      <c r="AM9" s="5">
        <f>[5]Final_quant._elec_w_ASM_87!CM96</f>
        <v>115.50939079199999</v>
      </c>
      <c r="AN9" s="5">
        <f>[5]Final_quant._elec_w_ASM_87!CN96</f>
        <v>114.812943588</v>
      </c>
      <c r="AO9" s="5">
        <f>[5]Final_quant._elec_w_ASM_87!CO96</f>
        <v>107.995607224</v>
      </c>
      <c r="AP9" s="5">
        <f>[5]Final_quant._elec_w_ASM_87!CP96</f>
        <v>102.389694636</v>
      </c>
      <c r="AQ9" s="5">
        <f>[5]Final_quant._elec_w_ASM_87!CQ96</f>
        <v>97.014695971999998</v>
      </c>
      <c r="AR9" s="5">
        <f>[5]Final_quant._elec_w_ASM_87!CR96</f>
        <v>95.164583328000006</v>
      </c>
      <c r="AS9" s="5">
        <f>[5]Final_quant._elec_w_ASM_87!CS96</f>
        <v>94.700360255999996</v>
      </c>
      <c r="AT9" s="5">
        <f>[5]Final_quant._elec_w_ASM_87!CT96</f>
        <v>92.424099048000002</v>
      </c>
      <c r="AU9" s="5">
        <f>[5]Final_quant._elec_w_ASM_87!CU96</f>
        <v>79.236968124000001</v>
      </c>
      <c r="AV9" s="5">
        <f>[5]Final_quant._elec_w_ASM_87!CV96</f>
        <v>68.415711176000002</v>
      </c>
      <c r="AW9" s="5">
        <f>[5]Final_quant._elec_w_ASM_87!CW96</f>
        <v>63.298574411999994</v>
      </c>
      <c r="AX9" s="5">
        <f>[5]Final_quant._elec_w_ASM_87!CX96</f>
        <v>50.465271299999998</v>
      </c>
      <c r="AY9" s="5">
        <f>[5]Final_quant._elec_w_ASM_87!CY96</f>
        <v>52.214992668000008</v>
      </c>
      <c r="AZ9" s="5">
        <f>[5]Final_quant._elec_w_ASM_87!CZ96</f>
        <v>54.125074623999993</v>
      </c>
      <c r="BA9" s="5">
        <f>[5]Final_quant._elec_w_ASM_87!DA96</f>
        <v>49.364757995999994</v>
      </c>
      <c r="BB9" s="5">
        <f>[5]Final_quant._elec_w_ASM_87!DB96</f>
        <v>50.116087219999997</v>
      </c>
      <c r="BC9" s="5">
        <f>[5]Final_quant._elec_w_ASM_87!DC96</f>
        <v>50.308401187999998</v>
      </c>
      <c r="BD9" s="5">
        <f>[5]Final_quant._elec_w_ASM_87!DD96</f>
        <v>47.022597420000004</v>
      </c>
      <c r="BE9" s="5">
        <f>[5]Final_quant._elec_w_ASM_87!DE96</f>
        <v>44.523338128000006</v>
      </c>
      <c r="BF9" s="5">
        <f>[5]Final_quant._elec_w_ASM_87!DF96</f>
        <v>41.625352516</v>
      </c>
      <c r="BR9" s="2" t="s">
        <v>12</v>
      </c>
      <c r="BS9" s="2" t="s">
        <v>13</v>
      </c>
      <c r="BT9" s="2" t="s">
        <v>14</v>
      </c>
      <c r="BU9">
        <v>321</v>
      </c>
      <c r="BV9">
        <v>322</v>
      </c>
      <c r="BW9">
        <v>323</v>
      </c>
      <c r="BX9">
        <v>324</v>
      </c>
      <c r="BY9">
        <v>325</v>
      </c>
      <c r="BZ9">
        <v>326</v>
      </c>
      <c r="CA9">
        <v>327</v>
      </c>
      <c r="CB9">
        <v>331</v>
      </c>
      <c r="CC9">
        <v>332</v>
      </c>
      <c r="CD9">
        <v>333</v>
      </c>
      <c r="CE9">
        <v>334</v>
      </c>
      <c r="CF9">
        <v>335</v>
      </c>
      <c r="CG9">
        <v>336</v>
      </c>
      <c r="CH9">
        <v>337</v>
      </c>
      <c r="CI9">
        <v>339</v>
      </c>
    </row>
    <row r="10" spans="4:87" x14ac:dyDescent="0.2">
      <c r="F10" t="s">
        <v>14</v>
      </c>
      <c r="G10" s="66">
        <f>elechap3b!X190</f>
        <v>21.666</v>
      </c>
      <c r="H10" s="66">
        <f>elechap3b!Y190</f>
        <v>21.315000000000001</v>
      </c>
      <c r="I10" s="66">
        <f>elechap3b!Z190</f>
        <v>24.856000000000002</v>
      </c>
      <c r="J10" s="66">
        <f>elechap3b!AA190</f>
        <v>25.651</v>
      </c>
      <c r="K10" s="66">
        <f>elechap3b!AB190</f>
        <v>25.044000000000004</v>
      </c>
      <c r="L10" s="66">
        <f>elechap3b!AC190</f>
        <v>26.220000000000002</v>
      </c>
      <c r="M10" s="66">
        <f>elechap3b!AD190</f>
        <v>26.064999999999998</v>
      </c>
      <c r="N10" s="66">
        <f>elechap3b!AE190</f>
        <v>25.074000000000002</v>
      </c>
      <c r="O10" s="66">
        <f>elechap3b!AF190</f>
        <v>23.367999999999999</v>
      </c>
      <c r="P10" s="66">
        <f>elechap3b!AG190</f>
        <v>20.452999999999999</v>
      </c>
      <c r="Q10" s="66">
        <f>elechap3b!AH190</f>
        <v>21.411000000000001</v>
      </c>
      <c r="R10" s="66">
        <f>elechap3b!AI190</f>
        <v>21.231000000000002</v>
      </c>
      <c r="S10" s="66">
        <f>elechap3b!AJ190</f>
        <v>21.222000000000001</v>
      </c>
      <c r="T10" s="66">
        <f>elechap3b!AK190</f>
        <v>21.192</v>
      </c>
      <c r="U10" s="66">
        <f>elechap3b!AL190</f>
        <v>23.468999999999998</v>
      </c>
      <c r="V10" s="66">
        <f>elechap3b!AM190</f>
        <v>19.829520399999996</v>
      </c>
      <c r="W10" s="71">
        <f>elechap3b!AN190</f>
        <v>20.001826399999999</v>
      </c>
      <c r="X10" s="71">
        <f>elechap3b!AO190</f>
        <v>20.253290799999998</v>
      </c>
      <c r="Y10" s="7"/>
      <c r="Z10" s="38">
        <f t="shared" si="1"/>
        <v>1.2878249296652573</v>
      </c>
      <c r="AA10" s="7"/>
      <c r="AB10" s="5">
        <f>[5]Final_quant._elec_w_ASM_87!CB97</f>
        <v>26.0826928</v>
      </c>
      <c r="AC10" s="5">
        <f>[5]Final_quant._elec_w_ASM_87!CC97</f>
        <v>26.5088516</v>
      </c>
      <c r="AD10" s="5">
        <f>[5]Final_quant._elec_w_ASM_87!CD97</f>
        <v>23.390624799999998</v>
      </c>
      <c r="AE10" s="5">
        <f>[5]Final_quant._elec_w_ASM_87!CE97</f>
        <v>23.108793599999998</v>
      </c>
      <c r="AF10" s="5">
        <f>[5]Final_quant._elec_w_ASM_87!CF97</f>
        <v>22.4250288</v>
      </c>
      <c r="AG10" s="5">
        <f>[5]Final_quant._elec_w_ASM_87!CG97</f>
        <v>31.5483756</v>
      </c>
      <c r="AH10" s="5">
        <f>[5]Final_quant._elec_w_ASM_87!CH97</f>
        <v>35.309764399999999</v>
      </c>
      <c r="AI10" s="5">
        <f>[5]Final_quant._elec_w_ASM_87!CI97</f>
        <v>33.010758799999998</v>
      </c>
      <c r="AJ10" s="5">
        <f>[5]Final_quant._elec_w_ASM_87!CJ97</f>
        <v>34.404902</v>
      </c>
      <c r="AK10" s="5">
        <f>[5]Final_quant._elec_w_ASM_87!CK97</f>
        <v>32.783178399999997</v>
      </c>
      <c r="AL10" s="5">
        <f>[5]Final_quant._elec_w_ASM_87!CL97</f>
        <v>27.277875456</v>
      </c>
      <c r="AM10" s="5">
        <f>[5]Final_quant._elec_w_ASM_87!CM97</f>
        <v>25.900034791999996</v>
      </c>
      <c r="AN10" s="5">
        <f>[5]Final_quant._elec_w_ASM_87!CN97</f>
        <v>24.839243991999997</v>
      </c>
      <c r="AO10" s="5">
        <f>[5]Final_quant._elec_w_ASM_87!CO97</f>
        <v>26.023051040000002</v>
      </c>
      <c r="AP10" s="5">
        <f>[5]Final_quant._elec_w_ASM_87!CP97</f>
        <v>24.252731428000001</v>
      </c>
      <c r="AQ10" s="5">
        <f>[5]Final_quant._elec_w_ASM_87!CQ97</f>
        <v>13.151792839999999</v>
      </c>
      <c r="AR10" s="5">
        <f>[5]Final_quant._elec_w_ASM_87!CR97</f>
        <v>12.522558623999998</v>
      </c>
      <c r="AS10" s="5">
        <f>[5]Final_quant._elec_w_ASM_87!CS97</f>
        <v>15.189756556000001</v>
      </c>
      <c r="AT10" s="5">
        <f>[5]Final_quant._elec_w_ASM_87!CT97</f>
        <v>14.870621959999999</v>
      </c>
      <c r="AU10" s="5">
        <f>[5]Final_quant._elec_w_ASM_87!CU97</f>
        <v>13.064957439999999</v>
      </c>
      <c r="AV10" s="5">
        <f>[5]Final_quant._elec_w_ASM_87!CV97</f>
        <v>8.8014314240000004</v>
      </c>
      <c r="AW10" s="5">
        <f>[5]Final_quant._elec_w_ASM_87!CW97</f>
        <v>6.6801330200000004</v>
      </c>
      <c r="AX10" s="5">
        <f>[5]Final_quant._elec_w_ASM_87!CX97</f>
        <v>4.7902023360000001</v>
      </c>
      <c r="AY10" s="5">
        <f>[5]Final_quant._elec_w_ASM_87!CY97</f>
        <v>4.7583308439999996</v>
      </c>
      <c r="AZ10" s="5">
        <f>[5]Final_quant._elec_w_ASM_87!CZ97</f>
        <v>4.6839253599999999</v>
      </c>
      <c r="BA10" s="5">
        <f>[5]Final_quant._elec_w_ASM_87!DA97</f>
        <v>3.672690448</v>
      </c>
      <c r="BB10" s="5">
        <f>[5]Final_quant._elec_w_ASM_87!DB97</f>
        <v>3.8386603639999999</v>
      </c>
      <c r="BC10" s="5">
        <f>[5]Final_quant._elec_w_ASM_87!DC97</f>
        <v>3.9326268440000001</v>
      </c>
      <c r="BD10" s="5">
        <f>[5]Final_quant._elec_w_ASM_87!DD97</f>
        <v>3.7451988599999999</v>
      </c>
      <c r="BE10" s="5">
        <f>[5]Final_quant._elec_w_ASM_87!DE97</f>
        <v>3.5861518919999993</v>
      </c>
      <c r="BF10" s="5">
        <f>[5]Final_quant._elec_w_ASM_87!DF97</f>
        <v>3.2827670879999999</v>
      </c>
      <c r="BQ10">
        <v>1970</v>
      </c>
      <c r="BR10" s="49">
        <f t="array" ref="BR10:CI57">TRANSPOSE(G30:BB47)</f>
        <v>118.09880047352895</v>
      </c>
      <c r="BS10" s="49">
        <v>79.697962537808721</v>
      </c>
      <c r="BT10" s="49">
        <v>27.902014926127464</v>
      </c>
      <c r="BU10" s="49">
        <v>32.243314931920139</v>
      </c>
      <c r="BV10" s="49">
        <v>108.58771136767301</v>
      </c>
      <c r="BW10" s="49">
        <v>19.654830045750757</v>
      </c>
      <c r="BX10" s="49">
        <v>75.005281332783184</v>
      </c>
      <c r="BY10" s="49">
        <v>307.71763286030676</v>
      </c>
      <c r="BZ10" s="49">
        <v>49.600380017543152</v>
      </c>
      <c r="CA10" s="49">
        <v>83.09963951188027</v>
      </c>
      <c r="CB10" s="49">
        <v>426.50175179106191</v>
      </c>
      <c r="CC10" s="49">
        <v>88.207733644374215</v>
      </c>
      <c r="CD10" s="49">
        <v>49.146771419212747</v>
      </c>
      <c r="CE10" s="49">
        <v>55.768804756254276</v>
      </c>
      <c r="CF10" s="49">
        <v>42.736834095881441</v>
      </c>
      <c r="CG10" s="49">
        <v>108.45534171392897</v>
      </c>
      <c r="CH10" s="49">
        <v>12.44405467911435</v>
      </c>
      <c r="CI10" s="49">
        <v>15.609787456863595</v>
      </c>
    </row>
    <row r="11" spans="4:87" x14ac:dyDescent="0.2">
      <c r="F11" t="s">
        <v>105</v>
      </c>
      <c r="G11" s="66">
        <f>elechap3b!X191</f>
        <v>34.611261439020076</v>
      </c>
      <c r="H11" s="66">
        <f>elechap3b!Y191</f>
        <v>38.369509750562095</v>
      </c>
      <c r="I11" s="66">
        <f>elechap3b!Z191</f>
        <v>44.867814689432613</v>
      </c>
      <c r="J11" s="66">
        <f>elechap3b!AA191</f>
        <v>45.172105748370576</v>
      </c>
      <c r="K11" s="66">
        <f>elechap3b!AB191</f>
        <v>49.414927240793936</v>
      </c>
      <c r="L11" s="66">
        <f>elechap3b!AC191</f>
        <v>48.297645262090178</v>
      </c>
      <c r="M11" s="66">
        <f>elechap3b!AD191</f>
        <v>51.850881504568562</v>
      </c>
      <c r="N11" s="66">
        <f>elechap3b!AE191</f>
        <v>53.7012432</v>
      </c>
      <c r="O11" s="66">
        <f>elechap3b!AF191</f>
        <v>55.479167007999997</v>
      </c>
      <c r="P11" s="66">
        <f>elechap3b!AG191</f>
        <v>53.451936991999993</v>
      </c>
      <c r="Q11" s="66">
        <f>elechap3b!AH191</f>
        <v>48.708860800000004</v>
      </c>
      <c r="R11" s="66">
        <f>elechap3b!AI191</f>
        <v>48.423591599999995</v>
      </c>
      <c r="S11" s="66">
        <f>elechap3b!AJ191</f>
        <v>48.709484400000001</v>
      </c>
      <c r="T11" s="66">
        <f>elechap3b!AK191</f>
        <v>51.372272799999998</v>
      </c>
      <c r="U11" s="66">
        <f>elechap3b!AL191</f>
        <v>55.440956800000002</v>
      </c>
      <c r="V11" s="66">
        <f>elechap3b!AM191</f>
        <v>55.638119199999998</v>
      </c>
      <c r="W11" s="71">
        <f>elechap3b!AN191</f>
        <v>58.975737600000009</v>
      </c>
      <c r="X11" s="71">
        <f>elechap3b!AO191</f>
        <v>68.653875600000006</v>
      </c>
      <c r="Y11" s="7"/>
      <c r="Z11" s="38">
        <f t="shared" si="1"/>
        <v>0.93158450721965425</v>
      </c>
      <c r="AA11" s="7"/>
      <c r="AB11" s="5">
        <f>[5]Final_quant._elec_w_ASM_87!CB98</f>
        <v>63.95688686954545</v>
      </c>
      <c r="AC11" s="5">
        <f>[5]Final_quant._elec_w_ASM_87!CC98</f>
        <v>66.472722126573842</v>
      </c>
      <c r="AD11" s="5">
        <f>[5]Final_quant._elec_w_ASM_87!CD98</f>
        <v>65.138042120981652</v>
      </c>
      <c r="AE11" s="5">
        <f>[5]Final_quant._elec_w_ASM_87!CE98</f>
        <v>65.158067088915033</v>
      </c>
      <c r="AF11" s="5">
        <f>[5]Final_quant._elec_w_ASM_87!CF98</f>
        <v>63.49885546014837</v>
      </c>
      <c r="AG11" s="5">
        <f>[5]Final_quant._elec_w_ASM_87!CG98</f>
        <v>60.602545812385564</v>
      </c>
      <c r="AH11" s="5">
        <f>[5]Final_quant._elec_w_ASM_87!CH98</f>
        <v>66.275015300310841</v>
      </c>
      <c r="AI11" s="5">
        <f>[5]Final_quant._elec_w_ASM_87!CI98</f>
        <v>68.881439697990274</v>
      </c>
      <c r="AJ11" s="5">
        <f>[5]Final_quant._elec_w_ASM_87!CJ98</f>
        <v>70.680508245656824</v>
      </c>
      <c r="AK11" s="5">
        <f>[5]Final_quant._elec_w_ASM_87!CK98</f>
        <v>71.392824962144573</v>
      </c>
      <c r="AL11" s="5">
        <f>[5]Final_quant._elec_w_ASM_87!CL98</f>
        <v>74.590970555999988</v>
      </c>
      <c r="AM11" s="5">
        <f>[5]Final_quant._elec_w_ASM_87!CM98</f>
        <v>76.021762047999999</v>
      </c>
      <c r="AN11" s="5">
        <f>[5]Final_quant._elec_w_ASM_87!CN98</f>
        <v>79.383206443999995</v>
      </c>
      <c r="AO11" s="5">
        <f>[5]Final_quant._elec_w_ASM_87!CO98</f>
        <v>79.318323851999992</v>
      </c>
      <c r="AP11" s="5">
        <f>[5]Final_quant._elec_w_ASM_87!CP98</f>
        <v>74.650090280000001</v>
      </c>
      <c r="AQ11" s="5">
        <f>[5]Final_quant._elec_w_ASM_87!CQ98</f>
        <v>74.759141212000003</v>
      </c>
      <c r="AR11" s="5">
        <f>[5]Final_quant._elec_w_ASM_87!CR98</f>
        <v>78.270293932000001</v>
      </c>
      <c r="AS11" s="5">
        <f>[5]Final_quant._elec_w_ASM_87!CS98</f>
        <v>90.253432415999995</v>
      </c>
      <c r="AT11" s="5">
        <f>[5]Final_quant._elec_w_ASM_87!CT98</f>
        <v>95.464392355999991</v>
      </c>
      <c r="AU11" s="5">
        <f>[5]Final_quant._elec_w_ASM_87!CU98</f>
        <v>96.462862975999997</v>
      </c>
      <c r="AV11" s="5">
        <f>[5]Final_quant._elec_w_ASM_87!CV98</f>
        <v>85.215181091999995</v>
      </c>
      <c r="AW11" s="5">
        <f>[5]Final_quant._elec_w_ASM_87!CW98</f>
        <v>78.449870903999994</v>
      </c>
      <c r="AX11" s="5">
        <f>[5]Final_quant._elec_w_ASM_87!CX98</f>
        <v>63.432399876000005</v>
      </c>
      <c r="AY11" s="5">
        <f>[5]Final_quant._elec_w_ASM_87!CY98</f>
        <v>67.583578967999998</v>
      </c>
      <c r="AZ11" s="5">
        <f>[5]Final_quant._elec_w_ASM_87!CZ98</f>
        <v>68.977261547999987</v>
      </c>
      <c r="BA11" s="5">
        <f>[5]Final_quant._elec_w_ASM_87!DA98</f>
        <v>66.419227144000004</v>
      </c>
      <c r="BB11" s="5">
        <f>[5]Final_quant._elec_w_ASM_87!DB98</f>
        <v>71.100699275999986</v>
      </c>
      <c r="BC11" s="5">
        <f>[5]Final_quant._elec_w_ASM_87!DC98</f>
        <v>72.53285898</v>
      </c>
      <c r="BD11" s="5">
        <f>[5]Final_quant._elec_w_ASM_87!DD98</f>
        <v>75.369298936000007</v>
      </c>
      <c r="BE11" s="5">
        <f>[5]Final_quant._elec_w_ASM_87!DE98</f>
        <v>74.28565797200001</v>
      </c>
      <c r="BF11" s="5">
        <f>[5]Final_quant._elec_w_ASM_87!DF98</f>
        <v>69.652974028000003</v>
      </c>
      <c r="BQ11">
        <v>1971</v>
      </c>
      <c r="BR11" s="49">
        <v>118.4640689392175</v>
      </c>
      <c r="BS11" s="49">
        <v>83.556616099575507</v>
      </c>
      <c r="BT11" s="49">
        <v>27.449988375814961</v>
      </c>
      <c r="BU11" s="49">
        <v>35.744440833237107</v>
      </c>
      <c r="BV11" s="49">
        <v>114.59481396162843</v>
      </c>
      <c r="BW11" s="49">
        <v>18.859314067455642</v>
      </c>
      <c r="BX11" s="49">
        <v>80.509696332573895</v>
      </c>
      <c r="BY11" s="49">
        <v>339.63013688506902</v>
      </c>
      <c r="BZ11" s="49">
        <v>53.826868551945594</v>
      </c>
      <c r="CA11" s="49">
        <v>85.36480021614156</v>
      </c>
      <c r="CB11" s="49">
        <v>411.16701485644825</v>
      </c>
      <c r="CC11" s="49">
        <v>85.11641875877983</v>
      </c>
      <c r="CD11" s="49">
        <v>50.672480361975495</v>
      </c>
      <c r="CE11" s="49">
        <v>56.157957193533868</v>
      </c>
      <c r="CF11" s="49">
        <v>41.995861907408873</v>
      </c>
      <c r="CG11" s="49">
        <v>113.63216523814549</v>
      </c>
      <c r="CH11" s="49">
        <v>12.336058878660573</v>
      </c>
      <c r="CI11" s="49">
        <v>17.674656817572057</v>
      </c>
    </row>
    <row r="12" spans="4:87" x14ac:dyDescent="0.2">
      <c r="F12" t="s">
        <v>106</v>
      </c>
      <c r="G12" s="66">
        <f>elechap3b!X192</f>
        <v>112.87</v>
      </c>
      <c r="H12" s="66">
        <f>elechap3b!Y192</f>
        <v>119.11399999999999</v>
      </c>
      <c r="I12" s="66">
        <f>elechap3b!Z192</f>
        <v>125.52799999999999</v>
      </c>
      <c r="J12" s="66">
        <f>elechap3b!AA192</f>
        <v>129.98500000000001</v>
      </c>
      <c r="K12" s="66">
        <f>elechap3b!AB192</f>
        <v>139.44900000000001</v>
      </c>
      <c r="L12" s="66">
        <f>elechap3b!AC192</f>
        <v>133.482</v>
      </c>
      <c r="M12" s="66">
        <f>elechap3b!AD192</f>
        <v>148.279</v>
      </c>
      <c r="N12" s="66">
        <f>elechap3b!AE192</f>
        <v>152.04</v>
      </c>
      <c r="O12" s="66">
        <f>elechap3b!AF192</f>
        <v>155.625</v>
      </c>
      <c r="P12" s="66">
        <f>elechap3b!AG192</f>
        <v>157.50199999999998</v>
      </c>
      <c r="Q12" s="66">
        <f>elechap3b!AH192</f>
        <v>169.52399999999997</v>
      </c>
      <c r="R12" s="66">
        <f>elechap3b!AI192</f>
        <v>178.10300000000001</v>
      </c>
      <c r="S12" s="66">
        <f>elechap3b!AJ192</f>
        <v>172.44199999999998</v>
      </c>
      <c r="T12" s="66">
        <f>elechap3b!AK192</f>
        <v>176.792</v>
      </c>
      <c r="U12" s="66">
        <f>elechap3b!AL192</f>
        <v>182.90299999999999</v>
      </c>
      <c r="V12" s="66">
        <f>elechap3b!AM192</f>
        <v>178.95667040000001</v>
      </c>
      <c r="W12" s="71">
        <f>elechap3b!AN192</f>
        <v>198.8902568</v>
      </c>
      <c r="X12" s="71">
        <f>elechap3b!AO192</f>
        <v>202.15315239999998</v>
      </c>
      <c r="Y12" s="7"/>
      <c r="Z12" s="38">
        <f t="shared" si="1"/>
        <v>0.96205999262579078</v>
      </c>
      <c r="AA12" s="7"/>
      <c r="AB12" s="5">
        <f>[5]Final_quant._elec_w_ASM_87!CB99</f>
        <v>194.48346030722433</v>
      </c>
      <c r="AC12" s="5">
        <f>[5]Final_quant._elec_w_ASM_87!CC99</f>
        <v>197.55336384638781</v>
      </c>
      <c r="AD12" s="5">
        <f>[5]Final_quant._elec_w_ASM_87!CD99</f>
        <v>203.60553441825095</v>
      </c>
      <c r="AE12" s="5">
        <f>[5]Final_quant._elec_w_ASM_87!CE99</f>
        <v>215.91304783726235</v>
      </c>
      <c r="AF12" s="5">
        <f>[5]Final_quant._elec_w_ASM_87!CF99</f>
        <v>219.58196495057035</v>
      </c>
      <c r="AG12" s="5">
        <f>[5]Final_quant._elec_w_ASM_87!CG99</f>
        <v>222.69125568365018</v>
      </c>
      <c r="AH12" s="5">
        <f>[5]Final_quant._elec_w_ASM_87!CH99</f>
        <v>231.05282872547528</v>
      </c>
      <c r="AI12" s="5">
        <f>[5]Final_quant._elec_w_ASM_87!CI99</f>
        <v>236.49778005779467</v>
      </c>
      <c r="AJ12" s="5">
        <f>[5]Final_quant._elec_w_ASM_87!CJ99</f>
        <v>243.108920556654</v>
      </c>
      <c r="AK12" s="5">
        <f>[5]Final_quant._elec_w_ASM_87!CK99</f>
        <v>239.95958617642583</v>
      </c>
      <c r="AL12" s="5">
        <f>[5]Final_quant._elec_w_ASM_87!CL99</f>
        <v>239.01765260400001</v>
      </c>
      <c r="AM12" s="5">
        <f>[5]Final_quant._elec_w_ASM_87!CM99</f>
        <v>247.72932454400001</v>
      </c>
      <c r="AN12" s="5">
        <f>[5]Final_quant._elec_w_ASM_87!CN99</f>
        <v>241.930821616</v>
      </c>
      <c r="AO12" s="5">
        <f>[5]Final_quant._elec_w_ASM_87!CO99</f>
        <v>251.9243376</v>
      </c>
      <c r="AP12" s="5">
        <f>[5]Final_quant._elec_w_ASM_87!CP99</f>
        <v>247.14786856399999</v>
      </c>
      <c r="AQ12" s="5">
        <f>[5]Final_quant._elec_w_ASM_87!CQ99</f>
        <v>243.73968318000001</v>
      </c>
      <c r="AR12" s="5">
        <f>[5]Final_quant._elec_w_ASM_87!CR99</f>
        <v>244.92814419599998</v>
      </c>
      <c r="AS12" s="5">
        <f>[5]Final_quant._elec_w_ASM_87!CS99</f>
        <v>252.8525722</v>
      </c>
      <c r="AT12" s="5">
        <f>[5]Final_quant._elec_w_ASM_87!CT99</f>
        <v>256.52020947599999</v>
      </c>
      <c r="AU12" s="5">
        <f>[5]Final_quant._elec_w_ASM_87!CU99</f>
        <v>245.509183912</v>
      </c>
      <c r="AV12" s="5">
        <f>[5]Final_quant._elec_w_ASM_87!CV99</f>
        <v>252.53347172400001</v>
      </c>
      <c r="AW12" s="5">
        <f>[5]Final_quant._elec_w_ASM_87!CW99</f>
        <v>231.50060375200002</v>
      </c>
      <c r="AX12" s="5">
        <f>[5]Final_quant._elec_w_ASM_87!CX99</f>
        <v>221.86882800799998</v>
      </c>
      <c r="AY12" s="5">
        <f>[5]Final_quant._elec_w_ASM_87!CY99</f>
        <v>229.32690385199999</v>
      </c>
      <c r="AZ12" s="5">
        <f>[5]Final_quant._elec_w_ASM_87!CZ99</f>
        <v>228.31483299999999</v>
      </c>
      <c r="BA12" s="5">
        <f>[5]Final_quant._elec_w_ASM_87!DA99</f>
        <v>220.31695828400001</v>
      </c>
      <c r="BB12" s="5">
        <f>[5]Final_quant._elec_w_ASM_87!DB99</f>
        <v>206.06780824000001</v>
      </c>
      <c r="BC12" s="5">
        <f>[5]Final_quant._elec_w_ASM_87!DC99</f>
        <v>204.47927316400001</v>
      </c>
      <c r="BD12" s="5">
        <f>[5]Final_quant._elec_w_ASM_87!DD99</f>
        <v>209.27767453599998</v>
      </c>
      <c r="BE12" s="5">
        <f>[5]Final_quant._elec_w_ASM_87!DE99</f>
        <v>207.62067768</v>
      </c>
      <c r="BF12" s="5">
        <f>[5]Final_quant._elec_w_ASM_87!DF99</f>
        <v>193.77859288400001</v>
      </c>
      <c r="BQ12">
        <v>1972</v>
      </c>
      <c r="BR12" s="49">
        <v>120.68370032797704</v>
      </c>
      <c r="BS12" s="49">
        <v>91.301316357329696</v>
      </c>
      <c r="BT12" s="49">
        <v>32.010176451759641</v>
      </c>
      <c r="BU12" s="49">
        <v>41.798161037477847</v>
      </c>
      <c r="BV12" s="49">
        <v>120.76546675433026</v>
      </c>
      <c r="BW12" s="49">
        <v>19.523578840096089</v>
      </c>
      <c r="BX12" s="49">
        <v>84.700773717477233</v>
      </c>
      <c r="BY12" s="49">
        <v>389.21899303889154</v>
      </c>
      <c r="BZ12" s="49">
        <v>60.348937719884226</v>
      </c>
      <c r="CA12" s="49">
        <v>93.019861225102431</v>
      </c>
      <c r="CB12" s="49">
        <v>439.78238163247892</v>
      </c>
      <c r="CC12" s="49">
        <v>89.536101378028846</v>
      </c>
      <c r="CD12" s="49">
        <v>54.494863556225191</v>
      </c>
      <c r="CE12" s="49">
        <v>60.018130936339354</v>
      </c>
      <c r="CF12" s="49">
        <v>45.057180980695868</v>
      </c>
      <c r="CG12" s="49">
        <v>117.52319894989643</v>
      </c>
      <c r="CH12" s="49">
        <v>12.731387038245137</v>
      </c>
      <c r="CI12" s="49">
        <v>19.833754167316457</v>
      </c>
    </row>
    <row r="13" spans="4:87" x14ac:dyDescent="0.2">
      <c r="F13" t="s">
        <v>107</v>
      </c>
      <c r="G13" s="66">
        <f>elechap3b!X193</f>
        <v>18.878466799999998</v>
      </c>
      <c r="H13" s="66">
        <f>elechap3b!Y193</f>
        <v>18.1143736</v>
      </c>
      <c r="I13" s="66">
        <f>elechap3b!Z193</f>
        <v>18.752400000000002</v>
      </c>
      <c r="J13" s="66">
        <f>elechap3b!AA193</f>
        <v>20.704279999999997</v>
      </c>
      <c r="K13" s="66">
        <f>elechap3b!AB193</f>
        <v>19.63776</v>
      </c>
      <c r="L13" s="66">
        <f>elechap3b!AC193</f>
        <v>22.372680000000003</v>
      </c>
      <c r="M13" s="66">
        <f>elechap3b!AD193</f>
        <v>23.487200000000001</v>
      </c>
      <c r="N13" s="66">
        <f>elechap3b!AE193</f>
        <v>25.235562800000004</v>
      </c>
      <c r="O13" s="66">
        <f>elechap3b!AF193</f>
        <v>24.403024796493412</v>
      </c>
      <c r="P13" s="66">
        <f>elechap3b!AG193</f>
        <v>22.380269823276993</v>
      </c>
      <c r="Q13" s="66">
        <f>elechap3b!AH193</f>
        <v>22.620652800000002</v>
      </c>
      <c r="R13" s="66">
        <f>elechap3b!AI193</f>
        <v>24.406612000000003</v>
      </c>
      <c r="S13" s="66">
        <f>elechap3b!AJ193</f>
        <v>25.027505199999997</v>
      </c>
      <c r="T13" s="66">
        <f>elechap3b!AK193</f>
        <v>25.410826</v>
      </c>
      <c r="U13" s="66">
        <f>elechap3b!AL193</f>
        <v>30.7996832</v>
      </c>
      <c r="V13" s="66">
        <f>elechap3b!AM193</f>
        <v>29.8429444</v>
      </c>
      <c r="W13" s="71">
        <f>elechap3b!AN193</f>
        <v>32.040726399999997</v>
      </c>
      <c r="X13" s="71">
        <f>elechap3b!AO193</f>
        <v>37.0512236</v>
      </c>
      <c r="Y13" s="7"/>
      <c r="Z13" s="38">
        <f t="shared" si="1"/>
        <v>1.0411242742313565</v>
      </c>
      <c r="AA13" s="7"/>
      <c r="AB13" s="5">
        <f>[5]Final_quant._elec_w_ASM_87!CB100</f>
        <v>38.574928279933708</v>
      </c>
      <c r="AC13" s="5">
        <f>[5]Final_quant._elec_w_ASM_87!CC100</f>
        <v>41.228554572525958</v>
      </c>
      <c r="AD13" s="5">
        <f>[5]Final_quant._elec_w_ASM_87!CD100</f>
        <v>40.860254194455955</v>
      </c>
      <c r="AE13" s="5">
        <f>[5]Final_quant._elec_w_ASM_87!CE100</f>
        <v>42.559536231756297</v>
      </c>
      <c r="AF13" s="5">
        <f>[5]Final_quant._elec_w_ASM_87!CF100</f>
        <v>41.919301686389602</v>
      </c>
      <c r="AG13" s="5">
        <f>[5]Final_quant._elec_w_ASM_87!CG100</f>
        <v>42.442327456311915</v>
      </c>
      <c r="AH13" s="5">
        <f>[5]Final_quant._elec_w_ASM_87!CH100</f>
        <v>44.795820817640724</v>
      </c>
      <c r="AI13" s="5">
        <f>[5]Final_quant._elec_w_ASM_87!CI100</f>
        <v>45.355872790684593</v>
      </c>
      <c r="AJ13" s="5">
        <f>[5]Final_quant._elec_w_ASM_87!CJ100</f>
        <v>47.033576643384293</v>
      </c>
      <c r="AK13" s="5">
        <f>[5]Final_quant._elec_w_ASM_87!CK100</f>
        <v>47.738300535909723</v>
      </c>
      <c r="AL13" s="5">
        <f>[5]Final_quant._elec_w_ASM_87!CL100</f>
        <v>48.749823471999996</v>
      </c>
      <c r="AM13" s="5">
        <f>[5]Final_quant._elec_w_ASM_87!CM100</f>
        <v>50.323086435999997</v>
      </c>
      <c r="AN13" s="5">
        <f>[5]Final_quant._elec_w_ASM_87!CN100</f>
        <v>50.350853291999996</v>
      </c>
      <c r="AO13" s="5">
        <f>[5]Final_quant._elec_w_ASM_87!CO100</f>
        <v>52.926108060000004</v>
      </c>
      <c r="AP13" s="5">
        <f>[5]Final_quant._elec_w_ASM_87!CP100</f>
        <v>52.071531715999996</v>
      </c>
      <c r="AQ13" s="5">
        <f>[5]Final_quant._elec_w_ASM_87!CQ100</f>
        <v>50.270889659999995</v>
      </c>
      <c r="AR13" s="5">
        <f>[5]Final_quant._elec_w_ASM_87!CR100</f>
        <v>51.488345851999995</v>
      </c>
      <c r="AS13" s="5">
        <f>[5]Final_quant._elec_w_ASM_87!CS100</f>
        <v>59.880651180000001</v>
      </c>
      <c r="AT13" s="5">
        <f>[5]Final_quant._elec_w_ASM_87!CT100</f>
        <v>61.317075883999998</v>
      </c>
      <c r="AU13" s="5">
        <f>[5]Final_quant._elec_w_ASM_87!CU100</f>
        <v>60.357440648000001</v>
      </c>
      <c r="AV13" s="5">
        <f>[5]Final_quant._elec_w_ASM_87!CV100</f>
        <v>57.377631864000001</v>
      </c>
      <c r="AW13" s="5">
        <f>[5]Final_quant._elec_w_ASM_87!CW100</f>
        <v>58.050478263999999</v>
      </c>
      <c r="AX13" s="5">
        <f>[5]Final_quant._elec_w_ASM_87!CX100</f>
        <v>47.950862727999997</v>
      </c>
      <c r="AY13" s="5">
        <f>[5]Final_quant._elec_w_ASM_87!CY100</f>
        <v>46.128059732000004</v>
      </c>
      <c r="AZ13" s="5">
        <f>[5]Final_quant._elec_w_ASM_87!CZ100</f>
        <v>45.594692479999999</v>
      </c>
      <c r="BA13" s="5">
        <f>[5]Final_quant._elec_w_ASM_87!DA100</f>
        <v>43.359470807999998</v>
      </c>
      <c r="BB13" s="5">
        <f>[5]Final_quant._elec_w_ASM_87!DB100</f>
        <v>43.347716468000002</v>
      </c>
      <c r="BC13" s="5">
        <f>[5]Final_quant._elec_w_ASM_87!DC100</f>
        <v>42.821162979999997</v>
      </c>
      <c r="BD13" s="5">
        <f>[5]Final_quant._elec_w_ASM_87!DD100</f>
        <v>41.974297755999999</v>
      </c>
      <c r="BE13" s="5">
        <f>[5]Final_quant._elec_w_ASM_87!DE100</f>
        <v>41.508273148000001</v>
      </c>
      <c r="BF13" s="5">
        <f>[5]Final_quant._elec_w_ASM_87!DF100</f>
        <v>34.702370395999999</v>
      </c>
      <c r="BQ13">
        <v>1973</v>
      </c>
      <c r="BR13" s="49">
        <v>125.58930585895047</v>
      </c>
      <c r="BS13" s="49">
        <v>95.374392038685471</v>
      </c>
      <c r="BT13" s="49">
        <v>33.033997270843514</v>
      </c>
      <c r="BU13" s="49">
        <v>42.081633873669915</v>
      </c>
      <c r="BV13" s="49">
        <v>125.05336814146342</v>
      </c>
      <c r="BW13" s="49">
        <v>21.555728488482785</v>
      </c>
      <c r="BX13" s="49">
        <v>88.748814332442336</v>
      </c>
      <c r="BY13" s="49">
        <v>415.85896106974752</v>
      </c>
      <c r="BZ13" s="49">
        <v>66.703824482228868</v>
      </c>
      <c r="CA13" s="49">
        <v>97.93789479308947</v>
      </c>
      <c r="CB13" s="49">
        <v>517.83358362160118</v>
      </c>
      <c r="CC13" s="49">
        <v>95.312741402814737</v>
      </c>
      <c r="CD13" s="49">
        <v>59.995842783381313</v>
      </c>
      <c r="CE13" s="49">
        <v>63.023316795133937</v>
      </c>
      <c r="CF13" s="49">
        <v>48.615364691617302</v>
      </c>
      <c r="CG13" s="49">
        <v>126.65495057620718</v>
      </c>
      <c r="CH13" s="49">
        <v>13.986013375658354</v>
      </c>
      <c r="CI13" s="49">
        <v>19.878476693195989</v>
      </c>
    </row>
    <row r="14" spans="4:87" x14ac:dyDescent="0.2">
      <c r="F14" t="s">
        <v>108</v>
      </c>
      <c r="G14" s="66">
        <f>elechap3b!X194</f>
        <v>74.986000000000004</v>
      </c>
      <c r="H14" s="66">
        <f>elechap3b!Y194</f>
        <v>80.489000000000004</v>
      </c>
      <c r="I14" s="66">
        <f>elechap3b!Z194</f>
        <v>84.679000000000002</v>
      </c>
      <c r="J14" s="66">
        <f>elechap3b!AA194</f>
        <v>88.725999999999999</v>
      </c>
      <c r="K14" s="66">
        <f>elechap3b!AB194</f>
        <v>92.944000000000003</v>
      </c>
      <c r="L14" s="66">
        <f>elechap3b!AC194</f>
        <v>90.073999999999998</v>
      </c>
      <c r="M14" s="66">
        <f>elechap3b!AD194</f>
        <v>94.558000000000007</v>
      </c>
      <c r="N14" s="66">
        <f>elechap3b!AE194</f>
        <v>102.883</v>
      </c>
      <c r="O14" s="66">
        <f>elechap3b!AF194</f>
        <v>103.254</v>
      </c>
      <c r="P14" s="66">
        <f>elechap3b!AG194</f>
        <v>107.718</v>
      </c>
      <c r="Q14" s="66">
        <f>elechap3b!AH194</f>
        <v>109.90799999999999</v>
      </c>
      <c r="R14" s="66">
        <f>elechap3b!AI194</f>
        <v>111.048</v>
      </c>
      <c r="S14" s="66">
        <f>elechap3b!AJ194</f>
        <v>116.64</v>
      </c>
      <c r="T14" s="66">
        <f>elechap3b!AK194</f>
        <v>114.111</v>
      </c>
      <c r="U14" s="66">
        <f>elechap3b!AL194</f>
        <v>118.72799999999999</v>
      </c>
      <c r="V14" s="66">
        <f>elechap3b!AM194</f>
        <v>119.877208</v>
      </c>
      <c r="W14" s="71">
        <f>elechap3b!AN194</f>
        <v>126.45008479999998</v>
      </c>
      <c r="X14" s="71">
        <f>elechap3b!AO194</f>
        <v>114.11706960000001</v>
      </c>
      <c r="Y14" s="7"/>
      <c r="Z14" s="38">
        <f t="shared" si="1"/>
        <v>1.0002571324351637</v>
      </c>
      <c r="AA14" s="7"/>
      <c r="AB14" s="5">
        <f>[5]Final_quant._elec_w_ASM_87!CB101</f>
        <v>114.14641279999999</v>
      </c>
      <c r="AC14" s="5">
        <f>[5]Final_quant._elec_w_ASM_87!CC101</f>
        <v>117.47174800000001</v>
      </c>
      <c r="AD14" s="5">
        <f>[5]Final_quant._elec_w_ASM_87!CD101</f>
        <v>116.4321116</v>
      </c>
      <c r="AE14" s="5">
        <f>[5]Final_quant._elec_w_ASM_87!CE101</f>
        <v>120.3296392</v>
      </c>
      <c r="AF14" s="5">
        <f>[5]Final_quant._elec_w_ASM_87!CF101</f>
        <v>119.63222639999999</v>
      </c>
      <c r="AG14" s="5">
        <f>[5]Final_quant._elec_w_ASM_87!CG101</f>
        <v>120.65616759999999</v>
      </c>
      <c r="AH14" s="5">
        <f>[5]Final_quant._elec_w_ASM_87!CH101</f>
        <v>116.03256639999999</v>
      </c>
      <c r="AI14" s="5">
        <f>[5]Final_quant._elec_w_ASM_87!CI101</f>
        <v>119.13475679999999</v>
      </c>
      <c r="AJ14" s="5">
        <f>[5]Final_quant._elec_w_ASM_87!CJ101</f>
        <v>121.335838</v>
      </c>
      <c r="AK14" s="5">
        <f>[5]Final_quant._elec_w_ASM_87!CK101</f>
        <v>121.163532</v>
      </c>
      <c r="AL14" s="5">
        <f>[5]Final_quant._elec_w_ASM_87!CL101</f>
        <v>118.26324158200001</v>
      </c>
      <c r="AM14" s="5">
        <f>[5]Final_quant._elec_w_ASM_87!CM101</f>
        <v>115.36295116400001</v>
      </c>
      <c r="AN14" s="77">
        <f>[5]Final_quant._elec_w_ASM_87!CN101</f>
        <v>113.69422044</v>
      </c>
      <c r="AO14" s="5">
        <f>[5]Final_quant._elec_w_ASM_87!CO101</f>
        <v>134.34793673600001</v>
      </c>
      <c r="AP14" s="5">
        <f>[5]Final_quant._elec_w_ASM_87!CP101</f>
        <v>141.62263805199999</v>
      </c>
      <c r="AQ14" s="5">
        <f>[5]Final_quant._elec_w_ASM_87!CQ101</f>
        <v>133.38386248799998</v>
      </c>
      <c r="AR14" s="5">
        <f>[5]Final_quant._elec_w_ASM_87!CR101</f>
        <v>136.040435452</v>
      </c>
      <c r="AS14" s="5">
        <f>[5]Final_quant._elec_w_ASM_87!CS101</f>
        <v>146.70073129999997</v>
      </c>
      <c r="AT14" s="5">
        <f>[5]Final_quant._elec_w_ASM_87!CT101</f>
        <v>167.58738483599998</v>
      </c>
      <c r="AU14" s="5">
        <f>[5]Final_quant._elec_w_ASM_87!CU101</f>
        <v>168.53377468799999</v>
      </c>
      <c r="AV14" s="5">
        <f>[5]Final_quant._elec_w_ASM_87!CV101</f>
        <v>167.6105762</v>
      </c>
      <c r="AW14" s="5">
        <f>[5]Final_quant._elec_w_ASM_87!CW101</f>
        <v>172.90319212399999</v>
      </c>
      <c r="AX14" s="5">
        <f>[5]Final_quant._elec_w_ASM_87!CX101</f>
        <v>163.05532759599998</v>
      </c>
      <c r="AY14" s="5">
        <f>[5]Final_quant._elec_w_ASM_87!CY101</f>
        <v>164.91379281599998</v>
      </c>
      <c r="AZ14" s="5">
        <f>[5]Final_quant._elec_w_ASM_87!CZ101</f>
        <v>171.975315784</v>
      </c>
      <c r="BA14" s="5">
        <f>[5]Final_quant._elec_w_ASM_87!DA101</f>
        <v>174.67706704</v>
      </c>
      <c r="BB14" s="5">
        <f>[5]Final_quant._elec_w_ASM_87!DB101</f>
        <v>175.214051012</v>
      </c>
      <c r="BC14" s="5">
        <f>[5]Final_quant._elec_w_ASM_87!DC101</f>
        <v>181.76113991600002</v>
      </c>
      <c r="BD14" s="5">
        <f>[5]Final_quant._elec_w_ASM_87!DD101</f>
        <v>180.96192668399999</v>
      </c>
      <c r="BE14" s="5">
        <f>[5]Final_quant._elec_w_ASM_87!DE101</f>
        <v>179.61001039600001</v>
      </c>
      <c r="BF14" s="5">
        <f>[5]Final_quant._elec_w_ASM_87!DF101</f>
        <v>192.05447175200001</v>
      </c>
      <c r="BQ14">
        <v>1974</v>
      </c>
      <c r="BR14" s="49">
        <v>129.42112217435181</v>
      </c>
      <c r="BS14" s="49">
        <v>88.419369719153337</v>
      </c>
      <c r="BT14" s="49">
        <v>32.252287538536706</v>
      </c>
      <c r="BU14" s="49">
        <v>46.034180642910087</v>
      </c>
      <c r="BV14" s="49">
        <v>134.1583039116739</v>
      </c>
      <c r="BW14" s="49">
        <v>20.445348627529562</v>
      </c>
      <c r="BX14" s="49">
        <v>92.967898917053859</v>
      </c>
      <c r="BY14" s="49">
        <v>416.6583226238227</v>
      </c>
      <c r="BZ14" s="49">
        <v>63.294672152952593</v>
      </c>
      <c r="CA14" s="49">
        <v>99.178172967293563</v>
      </c>
      <c r="CB14" s="49">
        <v>562.96552904368673</v>
      </c>
      <c r="CC14" s="49">
        <v>93.567265093831494</v>
      </c>
      <c r="CD14" s="49">
        <v>59.090472386854145</v>
      </c>
      <c r="CE14" s="49">
        <v>59.624570698434098</v>
      </c>
      <c r="CF14" s="49">
        <v>47.215931861924567</v>
      </c>
      <c r="CG14" s="49">
        <v>111.76929889391631</v>
      </c>
      <c r="CH14" s="49">
        <v>14.820557030777211</v>
      </c>
      <c r="CI14" s="49">
        <v>18.877802996681545</v>
      </c>
    </row>
    <row r="15" spans="4:87" x14ac:dyDescent="0.2">
      <c r="F15" t="s">
        <v>109</v>
      </c>
      <c r="G15" s="66">
        <f>elechap3b!X195</f>
        <v>302.95900000000006</v>
      </c>
      <c r="H15" s="66">
        <f>elechap3b!Y195</f>
        <v>334.37799999999999</v>
      </c>
      <c r="I15" s="66">
        <f>elechap3b!Z195</f>
        <v>383.20000000000005</v>
      </c>
      <c r="J15" s="66">
        <f>elechap3b!AA195</f>
        <v>409.428</v>
      </c>
      <c r="K15" s="66">
        <f>elechap3b!AB195</f>
        <v>410.21499999999997</v>
      </c>
      <c r="L15" s="66">
        <f>elechap3b!AC195</f>
        <v>414.42500000000007</v>
      </c>
      <c r="M15" s="66">
        <f>elechap3b!AD195</f>
        <v>471.72199999999998</v>
      </c>
      <c r="N15" s="66">
        <f>elechap3b!AE195</f>
        <v>485.14700000000005</v>
      </c>
      <c r="O15" s="66">
        <f>elechap3b!AF195</f>
        <v>478.25100000000003</v>
      </c>
      <c r="P15" s="66">
        <f>elechap3b!AG195</f>
        <v>478.37899999999996</v>
      </c>
      <c r="Q15" s="66">
        <f>elechap3b!AH195</f>
        <v>438.97400000000005</v>
      </c>
      <c r="R15" s="66">
        <f>elechap3b!AI195</f>
        <v>436.78099999999995</v>
      </c>
      <c r="S15" s="66">
        <f>elechap3b!AJ195</f>
        <v>398.42</v>
      </c>
      <c r="T15" s="66">
        <f>elechap3b!AK195</f>
        <v>422.34299999999996</v>
      </c>
      <c r="U15" s="66">
        <f>elechap3b!AL195</f>
        <v>454.23599999999993</v>
      </c>
      <c r="V15" s="66">
        <f>elechap3b!AM195</f>
        <v>429.44284999999991</v>
      </c>
      <c r="W15" s="71">
        <f>elechap3b!AN195</f>
        <v>408.37272640000003</v>
      </c>
      <c r="X15" s="71">
        <f>elechap3b!AO195</f>
        <v>424.05530199999998</v>
      </c>
      <c r="Y15" s="7"/>
      <c r="Z15" s="38">
        <f t="shared" si="1"/>
        <v>1.0157071843394871</v>
      </c>
      <c r="AA15" s="7"/>
      <c r="AB15" s="5">
        <f>[5]Final_quant._elec_w_ASM_87!CB102</f>
        <v>430.71601679865091</v>
      </c>
      <c r="AC15" s="5">
        <f>[5]Final_quant._elec_w_ASM_87!CC102</f>
        <v>436.09388806745358</v>
      </c>
      <c r="AD15" s="5">
        <f>[5]Final_quant._elec_w_ASM_87!CD102</f>
        <v>461.83742461517704</v>
      </c>
      <c r="AE15" s="5">
        <f>[5]Final_quant._elec_w_ASM_87!CE102</f>
        <v>490.50716601146706</v>
      </c>
      <c r="AF15" s="5">
        <f>[5]Final_quant._elec_w_ASM_87!CF102</f>
        <v>496.71773098954463</v>
      </c>
      <c r="AG15" s="5">
        <f>[5]Final_quant._elec_w_ASM_87!CG102</f>
        <v>495.33325646542994</v>
      </c>
      <c r="AH15" s="5">
        <f>[5]Final_quant._elec_w_ASM_87!CH102</f>
        <v>505.41737125666094</v>
      </c>
      <c r="AI15" s="5">
        <f>[5]Final_quant._elec_w_ASM_87!CI102</f>
        <v>529.47404492411465</v>
      </c>
      <c r="AJ15" s="5">
        <f>[5]Final_quant._elec_w_ASM_87!CJ102</f>
        <v>523.466804075548</v>
      </c>
      <c r="AK15" s="5">
        <f>[5]Final_quant._elec_w_ASM_87!CK102</f>
        <v>548.79503290387856</v>
      </c>
      <c r="AL15" s="5">
        <f>[5]Final_quant._elec_w_ASM_87!CL102</f>
        <v>535.96464723600002</v>
      </c>
      <c r="AM15" s="5">
        <f>[5]Final_quant._elec_w_ASM_87!CM102</f>
        <v>520.46306800000002</v>
      </c>
      <c r="AN15" s="5">
        <f>[5]Final_quant._elec_w_ASM_87!CN102</f>
        <v>542.14351992399997</v>
      </c>
      <c r="AO15" s="5">
        <f>[5]Final_quant._elec_w_ASM_87!CO102</f>
        <v>555.82240193600001</v>
      </c>
      <c r="AP15" s="5">
        <f>[5]Final_quant._elec_w_ASM_87!CP102</f>
        <v>518.00046382400001</v>
      </c>
      <c r="AQ15" s="5">
        <f>[5]Final_quant._elec_w_ASM_87!CQ102</f>
        <v>505.95882659999995</v>
      </c>
      <c r="AR15" s="5">
        <f>[5]Final_quant._elec_w_ASM_87!CR102</f>
        <v>541.32503912800007</v>
      </c>
      <c r="AS15" s="5">
        <f>[5]Final_quant._elec_w_ASM_87!CS102</f>
        <v>534.51343151200001</v>
      </c>
      <c r="AT15" s="5">
        <f>[5]Final_quant._elec_w_ASM_87!CT102</f>
        <v>521.76233371599994</v>
      </c>
      <c r="AU15" s="5">
        <f>[5]Final_quant._elec_w_ASM_87!CU102</f>
        <v>532.21748647599998</v>
      </c>
      <c r="AV15" s="5">
        <f>[5]Final_quant._elec_w_ASM_87!CV102</f>
        <v>550.50749882799994</v>
      </c>
      <c r="AW15" s="5">
        <f>[5]Final_quant._elec_w_ASM_87!CW102</f>
        <v>536.77850136000006</v>
      </c>
      <c r="AX15" s="5">
        <f>[5]Final_quant._elec_w_ASM_87!CX102</f>
        <v>469.80293055599998</v>
      </c>
      <c r="AY15" s="5">
        <f>[5]Final_quant._elec_w_ASM_87!CY102</f>
        <v>509.31938387599996</v>
      </c>
      <c r="AZ15" s="5">
        <f>[5]Final_quant._elec_w_ASM_87!CZ102</f>
        <v>529.71076855199999</v>
      </c>
      <c r="BA15" s="5">
        <f>[5]Final_quant._elec_w_ASM_87!DA102</f>
        <v>540.27317753199998</v>
      </c>
      <c r="BB15" s="5">
        <f>[5]Final_quant._elec_w_ASM_87!DB102</f>
        <v>529.74683339199998</v>
      </c>
      <c r="BC15" s="5">
        <f>[5]Final_quant._elec_w_ASM_87!DC102</f>
        <v>522.15054083999996</v>
      </c>
      <c r="BD15" s="5">
        <f>[5]Final_quant._elec_w_ASM_87!DD102</f>
        <v>518.67282913199995</v>
      </c>
      <c r="BE15" s="5">
        <f>[5]Final_quant._elec_w_ASM_87!DE102</f>
        <v>493.08530624400004</v>
      </c>
      <c r="BF15" s="5">
        <f>[5]Final_quant._elec_w_ASM_87!DF102</f>
        <v>503.75010251999998</v>
      </c>
      <c r="BQ15">
        <v>1975</v>
      </c>
      <c r="BR15" s="49">
        <v>134.429803464136</v>
      </c>
      <c r="BS15" s="49">
        <v>87.80444108544215</v>
      </c>
      <c r="BT15" s="49">
        <v>33.766769655823047</v>
      </c>
      <c r="BU15" s="49">
        <v>44.993338061353946</v>
      </c>
      <c r="BV15" s="49">
        <v>128.4176919356758</v>
      </c>
      <c r="BW15" s="49">
        <v>23.292740227610388</v>
      </c>
      <c r="BX15" s="49">
        <v>90.097160946964934</v>
      </c>
      <c r="BY15" s="49">
        <v>420.93444986989203</v>
      </c>
      <c r="BZ15" s="49">
        <v>62.690469073086597</v>
      </c>
      <c r="CA15" s="49">
        <v>95.025545316182075</v>
      </c>
      <c r="CB15" s="49">
        <v>477.02013064758233</v>
      </c>
      <c r="CC15" s="49">
        <v>91.456613034538748</v>
      </c>
      <c r="CD15" s="49">
        <v>62.476829897752097</v>
      </c>
      <c r="CE15" s="49">
        <v>61.063698296722293</v>
      </c>
      <c r="CF15" s="49">
        <v>44.298578464270889</v>
      </c>
      <c r="CG15" s="49">
        <v>109.36353827720538</v>
      </c>
      <c r="CH15" s="49">
        <v>14.3946598811398</v>
      </c>
      <c r="CI15" s="49">
        <v>18.278815879446618</v>
      </c>
    </row>
    <row r="16" spans="4:87" x14ac:dyDescent="0.2">
      <c r="F16" t="s">
        <v>110</v>
      </c>
      <c r="G16" s="66">
        <f>elechap3b!X196</f>
        <v>50.732999999999997</v>
      </c>
      <c r="H16" s="66">
        <f>elechap3b!Y196</f>
        <v>55.055999999999997</v>
      </c>
      <c r="I16" s="66">
        <f>elechap3b!Z196</f>
        <v>61.726999999999997</v>
      </c>
      <c r="J16" s="66">
        <f>elechap3b!AA196</f>
        <v>68.227000000000004</v>
      </c>
      <c r="K16" s="66">
        <f>elechap3b!AB196</f>
        <v>64.739999999999995</v>
      </c>
      <c r="L16" s="66">
        <f>elechap3b!AC196</f>
        <v>64.122</v>
      </c>
      <c r="M16" s="66">
        <f>elechap3b!AD196</f>
        <v>67.387</v>
      </c>
      <c r="N16" s="66">
        <f>elechap3b!AE196</f>
        <v>76.965000000000003</v>
      </c>
      <c r="O16" s="66">
        <f>elechap3b!AF196</f>
        <v>78.375</v>
      </c>
      <c r="P16" s="66">
        <f>elechap3b!AG196</f>
        <v>77.924999999999997</v>
      </c>
      <c r="Q16" s="66">
        <f>elechap3b!AH196</f>
        <v>73.906999999999996</v>
      </c>
      <c r="R16" s="66">
        <f>elechap3b!AI196</f>
        <v>78.180000000000007</v>
      </c>
      <c r="S16" s="66">
        <f>elechap3b!AJ196</f>
        <v>105.07899999999999</v>
      </c>
      <c r="T16" s="66">
        <f>elechap3b!AK196</f>
        <v>109.32</v>
      </c>
      <c r="U16" s="66">
        <f>elechap3b!AL196</f>
        <v>100.827</v>
      </c>
      <c r="V16" s="66">
        <f>elechap3b!AM196</f>
        <v>102.70972999999999</v>
      </c>
      <c r="W16" s="71">
        <f>elechap3b!AN196</f>
        <v>106.52741680000001</v>
      </c>
      <c r="X16" s="71">
        <f>elechap3b!AO196</f>
        <v>112.86896</v>
      </c>
      <c r="Y16" s="7"/>
      <c r="Z16" s="38">
        <f t="shared" si="1"/>
        <v>0.97767488651455969</v>
      </c>
      <c r="AA16" s="7"/>
      <c r="AB16" s="5">
        <f>[5]Final_quant._elec_w_ASM_87!CB103</f>
        <v>110.34914765901638</v>
      </c>
      <c r="AC16" s="5">
        <f>[5]Final_quant._elec_w_ASM_87!CC103</f>
        <v>116.07783040218577</v>
      </c>
      <c r="AD16" s="5">
        <f>[5]Final_quant._elec_w_ASM_87!CD103</f>
        <v>118.75510933989071</v>
      </c>
      <c r="AE16" s="5">
        <f>[5]Final_quant._elec_w_ASM_87!CE103</f>
        <v>122.40925133551912</v>
      </c>
      <c r="AF16" s="5">
        <f>[5]Final_quant._elec_w_ASM_87!CF103</f>
        <v>120.58301469289617</v>
      </c>
      <c r="AG16" s="5">
        <f>[5]Final_quant._elec_w_ASM_87!CG103</f>
        <v>126.47322860109288</v>
      </c>
      <c r="AH16" s="5">
        <f>[5]Final_quant._elec_w_ASM_87!CH103</f>
        <v>138.51030407431693</v>
      </c>
      <c r="AI16" s="5">
        <f>[5]Final_quant._elec_w_ASM_87!CI103</f>
        <v>147.55271189508196</v>
      </c>
      <c r="AJ16" s="5">
        <f>[5]Final_quant._elec_w_ASM_87!CJ103</f>
        <v>154.46017165245902</v>
      </c>
      <c r="AK16" s="5">
        <f>[5]Final_quant._elec_w_ASM_87!CK103</f>
        <v>166.77825795409836</v>
      </c>
      <c r="AL16" s="5">
        <f>[5]Final_quant._elec_w_ASM_87!CL103</f>
        <v>170.17742038799997</v>
      </c>
      <c r="AM16" s="5">
        <f>[5]Final_quant._elec_w_ASM_87!CM103</f>
        <v>171.04344057999998</v>
      </c>
      <c r="AN16" s="5">
        <f>[5]Final_quant._elec_w_ASM_87!CN103</f>
        <v>180.8895684</v>
      </c>
      <c r="AO16" s="5">
        <f>[5]Final_quant._elec_w_ASM_87!CO103</f>
        <v>186.67535139199998</v>
      </c>
      <c r="AP16" s="5">
        <f>[5]Final_quant._elec_w_ASM_87!CP103</f>
        <v>188.27252565200001</v>
      </c>
      <c r="AQ16" s="5">
        <f>[5]Final_quant._elec_w_ASM_87!CQ103</f>
        <v>184.49908566799999</v>
      </c>
      <c r="AR16" s="5">
        <f>[5]Final_quant._elec_w_ASM_87!CR103</f>
        <v>189.65162875599998</v>
      </c>
      <c r="AS16" s="5">
        <f>[5]Final_quant._elec_w_ASM_87!CS103</f>
        <v>216.57722544799998</v>
      </c>
      <c r="AT16" s="5">
        <f>[5]Final_quant._elec_w_ASM_87!CT103</f>
        <v>223.40631956399997</v>
      </c>
      <c r="AU16" s="5">
        <f>[5]Final_quant._elec_w_ASM_87!CU103</f>
        <v>220.01886207999999</v>
      </c>
      <c r="AV16" s="5">
        <f>[5]Final_quant._elec_w_ASM_87!CV103</f>
        <v>207.53010613999999</v>
      </c>
      <c r="AW16" s="5">
        <f>[5]Final_quant._elec_w_ASM_87!CW103</f>
        <v>199.834729108</v>
      </c>
      <c r="AX16" s="5">
        <f>[5]Final_quant._elec_w_ASM_87!CX103</f>
        <v>163.97076378400001</v>
      </c>
      <c r="AY16" s="5">
        <f>[5]Final_quant._elec_w_ASM_87!CY103</f>
        <v>171.66115588400001</v>
      </c>
      <c r="AZ16" s="5">
        <f>[5]Final_quant._elec_w_ASM_87!CZ103</f>
        <v>175.84163040799999</v>
      </c>
      <c r="BA16" s="5">
        <f>[5]Final_quant._elec_w_ASM_87!DA103</f>
        <v>178.53335720800001</v>
      </c>
      <c r="BB16" s="5">
        <f>[5]Final_quant._elec_w_ASM_87!DB103</f>
        <v>179.59327794799998</v>
      </c>
      <c r="BC16" s="5">
        <f>[5]Final_quant._elec_w_ASM_87!DC103</f>
        <v>178.72704962399999</v>
      </c>
      <c r="BD16" s="5">
        <f>[5]Final_quant._elec_w_ASM_87!DD103</f>
        <v>181.37546449599998</v>
      </c>
      <c r="BE16" s="5">
        <f>[5]Final_quant._elec_w_ASM_87!DE103</f>
        <v>179.65944003999999</v>
      </c>
      <c r="BF16" s="5">
        <f>[5]Final_quant._elec_w_ASM_87!DF103</f>
        <v>168.140862416</v>
      </c>
      <c r="BQ16">
        <v>1976</v>
      </c>
      <c r="BR16" s="49">
        <v>137.21685189411582</v>
      </c>
      <c r="BS16" s="49">
        <v>92.347923002724443</v>
      </c>
      <c r="BT16" s="49">
        <v>33.567156791724926</v>
      </c>
      <c r="BU16" s="49">
        <v>48.30347789533819</v>
      </c>
      <c r="BV16" s="49">
        <v>142.65329364655963</v>
      </c>
      <c r="BW16" s="49">
        <v>24.453094053726716</v>
      </c>
      <c r="BX16" s="49">
        <v>94.582313928804211</v>
      </c>
      <c r="BY16" s="49">
        <v>479.13142441099154</v>
      </c>
      <c r="BZ16" s="49">
        <v>65.882577577556631</v>
      </c>
      <c r="CA16" s="49">
        <v>99.937567842937113</v>
      </c>
      <c r="CB16" s="49">
        <v>513.3155215270391</v>
      </c>
      <c r="CC16" s="49">
        <v>96.333721148603033</v>
      </c>
      <c r="CD16" s="49">
        <v>64.285047980263272</v>
      </c>
      <c r="CE16" s="49">
        <v>60.338488977250819</v>
      </c>
      <c r="CF16" s="49">
        <v>44.572779783199536</v>
      </c>
      <c r="CG16" s="49">
        <v>116.60003904808401</v>
      </c>
      <c r="CH16" s="49">
        <v>14.682192626123481</v>
      </c>
      <c r="CI16" s="49">
        <v>17.792073411794558</v>
      </c>
    </row>
    <row r="17" spans="6:87" x14ac:dyDescent="0.2">
      <c r="F17" t="s">
        <v>111</v>
      </c>
      <c r="G17" s="66">
        <f>elechap3b!X197</f>
        <v>82.947000000000003</v>
      </c>
      <c r="H17" s="66">
        <f>elechap3b!Y197</f>
        <v>85.207999999999998</v>
      </c>
      <c r="I17" s="66">
        <f>elechap3b!Z197</f>
        <v>92.849000000000004</v>
      </c>
      <c r="J17" s="66">
        <f>elechap3b!AA197</f>
        <v>97.75800000000001</v>
      </c>
      <c r="K17" s="66">
        <f>elechap3b!AB197</f>
        <v>98.996000000000009</v>
      </c>
      <c r="L17" s="66">
        <f>elechap3b!AC197</f>
        <v>94.850999999999999</v>
      </c>
      <c r="M17" s="66">
        <f>elechap3b!AD197</f>
        <v>99.754000000000005</v>
      </c>
      <c r="N17" s="66">
        <f>elechap3b!AE197</f>
        <v>105.51599999999999</v>
      </c>
      <c r="O17" s="66">
        <f>elechap3b!AF197</f>
        <v>111.75700000000001</v>
      </c>
      <c r="P17" s="66">
        <f>elechap3b!AG197</f>
        <v>112.547</v>
      </c>
      <c r="Q17" s="66">
        <f>elechap3b!AH197</f>
        <v>104.08500000000001</v>
      </c>
      <c r="R17" s="66">
        <f>elechap3b!AI197</f>
        <v>102.73099999999999</v>
      </c>
      <c r="S17" s="66">
        <f>elechap3b!AJ197</f>
        <v>95.10499999999999</v>
      </c>
      <c r="T17" s="66">
        <f>elechap3b!AK197</f>
        <v>95.356999999999999</v>
      </c>
      <c r="U17" s="66">
        <f>elechap3b!AL197</f>
        <v>102.50700000000001</v>
      </c>
      <c r="V17" s="66">
        <f>elechap3b!AM197</f>
        <v>104.12332160000001</v>
      </c>
      <c r="W17" s="71">
        <f>elechap3b!AN197</f>
        <v>107.91610079999998</v>
      </c>
      <c r="X17" s="71">
        <f>elechap3b!AO197</f>
        <v>113.658838</v>
      </c>
      <c r="Y17" s="7"/>
      <c r="Z17" s="38">
        <f t="shared" si="1"/>
        <v>1.0018402053344939</v>
      </c>
      <c r="AA17" s="7"/>
      <c r="AB17" s="5">
        <f>[5]Final_quant._elec_w_ASM_87!CB104</f>
        <v>113.86799359999999</v>
      </c>
      <c r="AC17" s="5">
        <f>[5]Final_quant._elec_w_ASM_87!CC104</f>
        <v>116.29324320000001</v>
      </c>
      <c r="AD17" s="5">
        <f>[5]Final_quant._elec_w_ASM_87!CD104</f>
        <v>113.7366316</v>
      </c>
      <c r="AE17" s="5">
        <f>[5]Final_quant._elec_w_ASM_87!CE104</f>
        <v>115.537144</v>
      </c>
      <c r="AF17" s="5">
        <f>[5]Final_quant._elec_w_ASM_87!CF104</f>
        <v>112.2251156</v>
      </c>
      <c r="AG17" s="5">
        <f>[5]Final_quant._elec_w_ASM_87!CG104</f>
        <v>115.1096204</v>
      </c>
      <c r="AH17" s="5">
        <f>[5]Final_quant._elec_w_ASM_87!CH104</f>
        <v>117.2912532</v>
      </c>
      <c r="AI17" s="5">
        <f>[5]Final_quant._elec_w_ASM_87!CI104</f>
        <v>119.70421959999999</v>
      </c>
      <c r="AJ17" s="5">
        <f>[5]Final_quant._elec_w_ASM_87!CJ104</f>
        <v>123.5822988</v>
      </c>
      <c r="AK17" s="5">
        <f>[5]Final_quant._elec_w_ASM_87!CK104</f>
        <v>127.288072</v>
      </c>
      <c r="AL17" s="5">
        <f>[5]Final_quant._elec_w_ASM_87!CL104</f>
        <v>128.38429642</v>
      </c>
      <c r="AM17" s="5">
        <f>[5]Final_quant._elec_w_ASM_87!CM104</f>
        <v>131.55392499999999</v>
      </c>
      <c r="AN17" s="5">
        <f>[5]Final_quant._elec_w_ASM_87!CN104</f>
        <v>137.15007926800001</v>
      </c>
      <c r="AO17" s="5">
        <f>[5]Final_quant._elec_w_ASM_87!CO104</f>
        <v>140.30935583999999</v>
      </c>
      <c r="AP17" s="5">
        <f>[5]Final_quant._elec_w_ASM_87!CP104</f>
        <v>140.31999104400001</v>
      </c>
      <c r="AQ17" s="5">
        <f>[5]Final_quant._elec_w_ASM_87!CQ104</f>
        <v>139.16903131999999</v>
      </c>
      <c r="AR17" s="5">
        <f>[5]Final_quant._elec_w_ASM_87!CR104</f>
        <v>139.718660164</v>
      </c>
      <c r="AS17" s="5">
        <f>[5]Final_quant._elec_w_ASM_87!CS104</f>
        <v>151.96005633999999</v>
      </c>
      <c r="AT17" s="5">
        <f>[5]Final_quant._elec_w_ASM_87!CT104</f>
        <v>158.331884452</v>
      </c>
      <c r="AU17" s="5">
        <f>[5]Final_quant._elec_w_ASM_87!CU104</f>
        <v>157.69310346</v>
      </c>
      <c r="AV17" s="5">
        <f>[5]Final_quant._elec_w_ASM_87!CV104</f>
        <v>156.99244243599998</v>
      </c>
      <c r="AW17" s="5">
        <f>[5]Final_quant._elec_w_ASM_87!CW104</f>
        <v>148.58574188</v>
      </c>
      <c r="AX17" s="5">
        <f>[5]Final_quant._elec_w_ASM_87!CX104</f>
        <v>117.327584176</v>
      </c>
      <c r="AY17" s="5">
        <f>[5]Final_quant._elec_w_ASM_87!CY104</f>
        <v>120.60719175200001</v>
      </c>
      <c r="AZ17" s="5">
        <f>[5]Final_quant._elec_w_ASM_87!CZ104</f>
        <v>120.78136070399999</v>
      </c>
      <c r="BA17" s="5">
        <f>[5]Final_quant._elec_w_ASM_87!DA104</f>
        <v>120.404798736</v>
      </c>
      <c r="BB17" s="5">
        <f>[5]Final_quant._elec_w_ASM_87!DB104</f>
        <v>119.71339788</v>
      </c>
      <c r="BC17" s="5">
        <f>[5]Final_quant._elec_w_ASM_87!DC104</f>
        <v>121.96623911999998</v>
      </c>
      <c r="BD17" s="5">
        <f>[5]Final_quant._elec_w_ASM_87!DD104</f>
        <v>125.64074134000001</v>
      </c>
      <c r="BE17" s="5">
        <f>[5]Final_quant._elec_w_ASM_87!DE104</f>
        <v>126.29095253199999</v>
      </c>
      <c r="BF17" s="5">
        <f>[5]Final_quant._elec_w_ASM_87!DF104</f>
        <v>124.541934036</v>
      </c>
      <c r="BQ17">
        <v>1977</v>
      </c>
      <c r="BR17" s="49">
        <v>141.0066373175749</v>
      </c>
      <c r="BS17" s="49">
        <v>91.204968092139922</v>
      </c>
      <c r="BT17" s="49">
        <v>32.290922286426664</v>
      </c>
      <c r="BU17" s="49">
        <v>50.027246183554809</v>
      </c>
      <c r="BV17" s="49">
        <v>146.27160127882522</v>
      </c>
      <c r="BW17" s="49">
        <v>26.273357004969821</v>
      </c>
      <c r="BX17" s="49">
        <v>102.90945455632693</v>
      </c>
      <c r="BY17" s="49">
        <v>492.76729336074919</v>
      </c>
      <c r="BZ17" s="49">
        <v>75.246747640593085</v>
      </c>
      <c r="CA17" s="49">
        <v>105.71017110607445</v>
      </c>
      <c r="CB17" s="49">
        <v>546.84224862779843</v>
      </c>
      <c r="CC17" s="49">
        <v>98.450059104997237</v>
      </c>
      <c r="CD17" s="49">
        <v>65.89501569794686</v>
      </c>
      <c r="CE17" s="49">
        <v>62.768469320083639</v>
      </c>
      <c r="CF17" s="49">
        <v>47.430719507533297</v>
      </c>
      <c r="CG17" s="49">
        <v>122.08421943882026</v>
      </c>
      <c r="CH17" s="49">
        <v>15.484543619761297</v>
      </c>
      <c r="CI17" s="49">
        <v>19.687953956599571</v>
      </c>
    </row>
    <row r="18" spans="6:87" x14ac:dyDescent="0.2">
      <c r="F18" t="s">
        <v>112</v>
      </c>
      <c r="G18" s="66">
        <f>elechap3b!X198</f>
        <v>438.10699999999997</v>
      </c>
      <c r="H18" s="66">
        <f>elechap3b!Y198</f>
        <v>422.35500000000002</v>
      </c>
      <c r="I18" s="66">
        <f>elechap3b!Z198</f>
        <v>451.74899999999997</v>
      </c>
      <c r="J18" s="66">
        <f>elechap3b!AA198</f>
        <v>531.92399999999998</v>
      </c>
      <c r="K18" s="66">
        <f>elechap3b!AB198</f>
        <v>578.28399999999999</v>
      </c>
      <c r="L18" s="66">
        <f>elechap3b!AC198</f>
        <v>490</v>
      </c>
      <c r="M18" s="66">
        <f>elechap3b!AD198</f>
        <v>527.28300000000002</v>
      </c>
      <c r="N18" s="66">
        <f>elechap3b!AE198</f>
        <v>561.72199999999998</v>
      </c>
      <c r="O18" s="66">
        <f>elechap3b!AF198</f>
        <v>586.50800000000004</v>
      </c>
      <c r="P18" s="66">
        <f>elechap3b!AG198</f>
        <v>610.57499999999993</v>
      </c>
      <c r="Q18" s="66">
        <f>elechap3b!AH198</f>
        <v>575.89199999999994</v>
      </c>
      <c r="R18" s="66">
        <f>elechap3b!AI198</f>
        <v>581.00900000000001</v>
      </c>
      <c r="S18" s="66">
        <f>elechap3b!AJ198</f>
        <v>420.41399999999999</v>
      </c>
      <c r="T18" s="66">
        <f>elechap3b!AK198</f>
        <v>410.464</v>
      </c>
      <c r="U18" s="66">
        <f>elechap3b!AL198</f>
        <v>490.024</v>
      </c>
      <c r="V18" s="66">
        <f>elechap3b!AM198</f>
        <v>454.3153064</v>
      </c>
      <c r="W18" s="71">
        <f>elechap3b!AN198</f>
        <v>428.01424559999998</v>
      </c>
      <c r="X18" s="71">
        <f>elechap3b!AO198</f>
        <v>445.84160439999999</v>
      </c>
      <c r="Y18" s="7"/>
      <c r="Z18" s="38">
        <f t="shared" si="1"/>
        <v>0.97351047070935171</v>
      </c>
      <c r="AA18" s="7"/>
      <c r="AB18" s="5">
        <f>[5]Final_quant._elec_w_ASM_87!CB105</f>
        <v>434.03147016125655</v>
      </c>
      <c r="AC18" s="5">
        <f>[5]Final_quant._elec_w_ASM_87!CC105</f>
        <v>499.72452113089003</v>
      </c>
      <c r="AD18" s="5">
        <f>[5]Final_quant._elec_w_ASM_87!CD105</f>
        <v>488.47492132774869</v>
      </c>
      <c r="AE18" s="5">
        <f>[5]Final_quant._elec_w_ASM_87!CE105</f>
        <v>494.40657078534031</v>
      </c>
      <c r="AF18" s="5">
        <f>[5]Final_quant._elec_w_ASM_87!CF105</f>
        <v>490.50840187225128</v>
      </c>
      <c r="AG18" s="5">
        <f>[5]Final_quant._elec_w_ASM_87!CG105</f>
        <v>478.26664963350788</v>
      </c>
      <c r="AH18" s="5">
        <f>[5]Final_quant._elec_w_ASM_87!CH105</f>
        <v>470.67033718115181</v>
      </c>
      <c r="AI18" s="5">
        <f>[5]Final_quant._elec_w_ASM_87!CI105</f>
        <v>475.66366162931934</v>
      </c>
      <c r="AJ18" s="5">
        <f>[5]Final_quant._elec_w_ASM_87!CJ105</f>
        <v>470.03205023246073</v>
      </c>
      <c r="AK18" s="5">
        <f>[5]Final_quant._elec_w_ASM_87!CK105</f>
        <v>479.4804248670157</v>
      </c>
      <c r="AL18" s="5">
        <f>[5]Final_quant._elec_w_ASM_87!CL105</f>
        <v>452.448700148</v>
      </c>
      <c r="AM18" s="5">
        <f>[5]Final_quant._elec_w_ASM_87!CM105</f>
        <v>444.10567774799995</v>
      </c>
      <c r="AN18" s="5">
        <f>[5]Final_quant._elec_w_ASM_87!CN105</f>
        <v>456.774188084</v>
      </c>
      <c r="AO18" s="5">
        <f>[5]Final_quant._elec_w_ASM_87!CO105</f>
        <v>467.44607449599999</v>
      </c>
      <c r="AP18" s="5">
        <f>[5]Final_quant._elec_w_ASM_87!CP105</f>
        <v>424.81313449599998</v>
      </c>
      <c r="AQ18" s="5">
        <f>[5]Final_quant._elec_w_ASM_87!CQ105</f>
        <v>450.38293204399997</v>
      </c>
      <c r="AR18" s="5">
        <f>[5]Final_quant._elec_w_ASM_87!CR105</f>
        <v>428.65577325199996</v>
      </c>
      <c r="AS18" s="5">
        <f>[5]Final_quant._elec_w_ASM_87!CS105</f>
        <v>439.55877489599999</v>
      </c>
      <c r="AT18" s="5">
        <f>[5]Final_quant._elec_w_ASM_87!CT105</f>
        <v>456.79283125199998</v>
      </c>
      <c r="AU18" s="5">
        <f>[5]Final_quant._elec_w_ASM_87!CU105</f>
        <v>443.67349676800001</v>
      </c>
      <c r="AV18" s="5">
        <f>[5]Final_quant._elec_w_ASM_87!CV105</f>
        <v>466.72509842399995</v>
      </c>
      <c r="AW18" s="5">
        <f>[5]Final_quant._elec_w_ASM_87!CW105</f>
        <v>473.65823124400004</v>
      </c>
      <c r="AX18" s="5">
        <f>[5]Final_quant._elec_w_ASM_87!CX105</f>
        <v>354.88301735599998</v>
      </c>
      <c r="AY18" s="5">
        <f>[5]Final_quant._elec_w_ASM_87!CY105</f>
        <v>403.28624645599996</v>
      </c>
      <c r="AZ18" s="5">
        <f>[5]Final_quant._elec_w_ASM_87!CZ105</f>
        <v>465.72311003200002</v>
      </c>
      <c r="BA18" s="5">
        <f>[5]Final_quant._elec_w_ASM_87!DA105</f>
        <v>454.57251319599999</v>
      </c>
      <c r="BB18" s="5">
        <f>[5]Final_quant._elec_w_ASM_87!DB105</f>
        <v>418.22865689599996</v>
      </c>
      <c r="BC18" s="5">
        <f>[5]Final_quant._elec_w_ASM_87!DC105</f>
        <v>405.70103486399995</v>
      </c>
      <c r="BD18" s="5">
        <f>[5]Final_quant._elec_w_ASM_87!DD105</f>
        <v>396.96090343200001</v>
      </c>
      <c r="BE18" s="5">
        <f>[5]Final_quant._elec_w_ASM_87!DE105</f>
        <v>332.5990304</v>
      </c>
      <c r="BF18" s="5">
        <f>[5]Final_quant._elec_w_ASM_87!DF105</f>
        <v>331.84799801999998</v>
      </c>
      <c r="BQ18">
        <f>BQ17+1</f>
        <v>1978</v>
      </c>
      <c r="BR18" s="49">
        <v>142.68587152421983</v>
      </c>
      <c r="BS18" s="49">
        <v>90.851691119777428</v>
      </c>
      <c r="BT18" s="49">
        <v>30.093892956417729</v>
      </c>
      <c r="BU18" s="49">
        <v>51.68353245810458</v>
      </c>
      <c r="BV18" s="49">
        <v>149.72058635238869</v>
      </c>
      <c r="BW18" s="49">
        <v>25.406581480299</v>
      </c>
      <c r="BX18" s="49">
        <v>103.28054995246039</v>
      </c>
      <c r="BY18" s="49">
        <v>485.7629766175441</v>
      </c>
      <c r="BZ18" s="49">
        <v>76.62526923057861</v>
      </c>
      <c r="CA18" s="49">
        <v>111.96265582756705</v>
      </c>
      <c r="CB18" s="49">
        <v>570.97167915480054</v>
      </c>
      <c r="CC18" s="49">
        <v>99.68694956190491</v>
      </c>
      <c r="CD18" s="49">
        <v>69.255618510796182</v>
      </c>
      <c r="CE18" s="49">
        <v>66.83112026826484</v>
      </c>
      <c r="CF18" s="49">
        <v>49.574142426015122</v>
      </c>
      <c r="CG18" s="49">
        <v>123.61164856516096</v>
      </c>
      <c r="CH18" s="49">
        <v>15.674755031924223</v>
      </c>
      <c r="CI18" s="49">
        <v>19.385936038873506</v>
      </c>
    </row>
    <row r="19" spans="6:87" x14ac:dyDescent="0.2">
      <c r="F19" t="s">
        <v>113</v>
      </c>
      <c r="G19" s="66">
        <f>elechap3b!X199</f>
        <v>87.226387597829927</v>
      </c>
      <c r="H19" s="66">
        <f>elechap3b!Y199</f>
        <v>84.169464817284194</v>
      </c>
      <c r="I19" s="66">
        <f>elechap3b!Z199</f>
        <v>88.539976713216973</v>
      </c>
      <c r="J19" s="66">
        <f>elechap3b!AA199</f>
        <v>94.252349324972073</v>
      </c>
      <c r="K19" s="66">
        <f>elechap3b!AB199</f>
        <v>92.526292132707809</v>
      </c>
      <c r="L19" s="66">
        <f>elechap3b!AC199</f>
        <v>90.439121915294919</v>
      </c>
      <c r="M19" s="66">
        <f>elechap3b!AD199</f>
        <v>95.261970265860441</v>
      </c>
      <c r="N19" s="66">
        <f>elechap3b!AE199</f>
        <v>97.354763122512793</v>
      </c>
      <c r="O19" s="66">
        <f>elechap3b!AF199</f>
        <v>98.577892682164133</v>
      </c>
      <c r="P19" s="66">
        <f>elechap3b!AG199</f>
        <v>99.429970233983369</v>
      </c>
      <c r="Q19" s="66">
        <f>elechap3b!AH199</f>
        <v>97.164777773750373</v>
      </c>
      <c r="R19" s="66">
        <f>elechap3b!AI199</f>
        <v>97.075868974255656</v>
      </c>
      <c r="S19" s="66">
        <f>elechap3b!AJ199</f>
        <v>97.185781757035997</v>
      </c>
      <c r="T19" s="66">
        <f>elechap3b!AK199</f>
        <v>92.779209616438692</v>
      </c>
      <c r="U19" s="66">
        <f>elechap3b!AL199</f>
        <v>102.60177872218233</v>
      </c>
      <c r="V19" s="66">
        <f>elechap3b!AM199</f>
        <v>100.74784768378909</v>
      </c>
      <c r="W19" s="71">
        <f>elechap3b!AN199</f>
        <v>97.789475651864777</v>
      </c>
      <c r="X19" s="71">
        <f>elechap3b!AO199</f>
        <v>110.54879999999999</v>
      </c>
      <c r="Y19" s="7"/>
      <c r="Z19" s="38">
        <f t="shared" si="1"/>
        <v>1.0112505638897822</v>
      </c>
      <c r="AA19" s="7"/>
      <c r="AB19" s="5">
        <f>[5]Final_quant._elec_w_ASM_87!CB106</f>
        <v>111.79253633733873</v>
      </c>
      <c r="AC19" s="5">
        <f>[5]Final_quant._elec_w_ASM_87!CC106</f>
        <v>118.75029238507044</v>
      </c>
      <c r="AD19" s="5">
        <f>[5]Final_quant._elec_w_ASM_87!CD106</f>
        <v>120.58309233333516</v>
      </c>
      <c r="AE19" s="5">
        <f>[5]Final_quant._elec_w_ASM_87!CE106</f>
        <v>120.9145451690495</v>
      </c>
      <c r="AF19" s="5">
        <f>[5]Final_quant._elec_w_ASM_87!CF106</f>
        <v>118.55444953613846</v>
      </c>
      <c r="AG19" s="5">
        <f>[5]Final_quant._elec_w_ASM_87!CG106</f>
        <v>114.50817795082392</v>
      </c>
      <c r="AH19" s="5">
        <f>[5]Final_quant._elec_w_ASM_87!CH106</f>
        <v>121.96741559942353</v>
      </c>
      <c r="AI19" s="5">
        <f>[5]Final_quant._elec_w_ASM_87!CI106</f>
        <v>123.24366390142647</v>
      </c>
      <c r="AJ19" s="5">
        <f>[5]Final_quant._elec_w_ASM_87!CJ106</f>
        <v>130.09231242172157</v>
      </c>
      <c r="AK19" s="5">
        <f>[5]Final_quant._elec_w_ASM_87!CK106</f>
        <v>135.3525343201872</v>
      </c>
      <c r="AL19" s="5">
        <f>[5]Final_quant._elec_w_ASM_87!CL106</f>
        <v>141.63235883999999</v>
      </c>
      <c r="AM19" s="5">
        <f>[5]Final_quant._elec_w_ASM_87!CM106</f>
        <v>145.711790396</v>
      </c>
      <c r="AN19" s="5">
        <f>[5]Final_quant._elec_w_ASM_87!CN106</f>
        <v>154.172833876</v>
      </c>
      <c r="AO19" s="5">
        <f>[5]Final_quant._elec_w_ASM_87!CO106</f>
        <v>159.80022841600001</v>
      </c>
      <c r="AP19" s="5">
        <f>[5]Final_quant._elec_w_ASM_87!CP106</f>
        <v>156.85912877199999</v>
      </c>
      <c r="AQ19" s="5">
        <f>[5]Final_quant._elec_w_ASM_87!CQ106</f>
        <v>139.449968576</v>
      </c>
      <c r="AR19" s="5">
        <f>[5]Final_quant._elec_w_ASM_87!CR106</f>
        <v>144.44251274799998</v>
      </c>
      <c r="AS19" s="5">
        <f>[5]Final_quant._elec_w_ASM_87!CS106</f>
        <v>168.11313650400001</v>
      </c>
      <c r="AT19" s="5">
        <f>[5]Final_quant._elec_w_ASM_87!CT106</f>
        <v>180.60769625599997</v>
      </c>
      <c r="AU19" s="5">
        <f>[5]Final_quant._elec_w_ASM_87!CU106</f>
        <v>179.19403641600002</v>
      </c>
      <c r="AV19" s="5">
        <f>[5]Final_quant._elec_w_ASM_87!CV106</f>
        <v>162.483268264</v>
      </c>
      <c r="AW19" s="5">
        <f>[5]Final_quant._elec_w_ASM_87!CW106</f>
        <v>166.160735512</v>
      </c>
      <c r="AX19" s="5">
        <f>[5]Final_quant._elec_w_ASM_87!CX106</f>
        <v>128.06374925599999</v>
      </c>
      <c r="AY19" s="5">
        <f>[5]Final_quant._elec_w_ASM_87!CY106</f>
        <v>135.48137584</v>
      </c>
      <c r="AZ19" s="5">
        <f>[5]Final_quant._elec_w_ASM_87!CZ106</f>
        <v>148.81893502</v>
      </c>
      <c r="BA19" s="5">
        <f>[5]Final_quant._elec_w_ASM_87!DA106</f>
        <v>141.51061867999999</v>
      </c>
      <c r="BB19" s="5">
        <f>[5]Final_quant._elec_w_ASM_87!DB106</f>
        <v>146.36505874000002</v>
      </c>
      <c r="BC19" s="5">
        <f>[5]Final_quant._elec_w_ASM_87!DC106</f>
        <v>149.814583916</v>
      </c>
      <c r="BD19" s="5">
        <f>[5]Final_quant._elec_w_ASM_87!DD106</f>
        <v>147.86258895199998</v>
      </c>
      <c r="BE19" s="5">
        <f>[5]Final_quant._elec_w_ASM_87!DE106</f>
        <v>143.28888484000001</v>
      </c>
      <c r="BF19" s="5">
        <f>[5]Final_quant._elec_w_ASM_87!DF106</f>
        <v>136.667445044</v>
      </c>
      <c r="BQ19">
        <f t="shared" ref="BQ19:BQ50" si="2">BQ18+1</f>
        <v>1979</v>
      </c>
      <c r="BR19" s="49">
        <v>139.50553403392331</v>
      </c>
      <c r="BS19" s="49">
        <v>89.403633369425307</v>
      </c>
      <c r="BT19" s="49">
        <v>26.339883286443506</v>
      </c>
      <c r="BU19" s="49">
        <v>49.79499638262832</v>
      </c>
      <c r="BV19" s="49">
        <v>151.52637295854728</v>
      </c>
      <c r="BW19" s="49">
        <v>23.300642176861189</v>
      </c>
      <c r="BX19" s="49">
        <v>107.74569779165097</v>
      </c>
      <c r="BY19" s="49">
        <v>485.89298713713947</v>
      </c>
      <c r="BZ19" s="49">
        <v>76.185315531647063</v>
      </c>
      <c r="CA19" s="49">
        <v>112.75410958978128</v>
      </c>
      <c r="CB19" s="49">
        <v>594.40115565336237</v>
      </c>
      <c r="CC19" s="49">
        <v>100.54861346665994</v>
      </c>
      <c r="CD19" s="49">
        <v>68.944876451337223</v>
      </c>
      <c r="CE19" s="49">
        <v>71.80496186305507</v>
      </c>
      <c r="CF19" s="49">
        <v>51.059900570314859</v>
      </c>
      <c r="CG19" s="49">
        <v>123.45790824378136</v>
      </c>
      <c r="CH19" s="49">
        <v>14.899658795801846</v>
      </c>
      <c r="CI19" s="49">
        <v>18.517125198767097</v>
      </c>
    </row>
    <row r="20" spans="6:87" x14ac:dyDescent="0.2">
      <c r="F20" t="s">
        <v>114</v>
      </c>
      <c r="G20" s="66">
        <f>elechap3b!X200</f>
        <v>54.675481225598503</v>
      </c>
      <c r="H20" s="66">
        <f>elechap3b!Y200</f>
        <v>56.372823049829535</v>
      </c>
      <c r="I20" s="66">
        <f>elechap3b!Z200</f>
        <v>60.625200867114657</v>
      </c>
      <c r="J20" s="66">
        <f>elechap3b!AA200</f>
        <v>66.745006457013559</v>
      </c>
      <c r="K20" s="66">
        <f>elechap3b!AB200</f>
        <v>65.737787453850672</v>
      </c>
      <c r="L20" s="66">
        <f>elechap3b!AC200</f>
        <v>69.505089377530751</v>
      </c>
      <c r="M20" s="66">
        <f>elechap3b!AD200</f>
        <v>71.516720883877852</v>
      </c>
      <c r="N20" s="66">
        <f>elechap3b!AE200</f>
        <v>73.307800077487244</v>
      </c>
      <c r="O20" s="66">
        <f>elechap3b!AF200</f>
        <v>77.046450057835841</v>
      </c>
      <c r="P20" s="66">
        <f>elechap3b!AG200</f>
        <v>76.700751426016652</v>
      </c>
      <c r="Q20" s="66">
        <f>elechap3b!AH200</f>
        <v>75.26872342624965</v>
      </c>
      <c r="R20" s="66">
        <f>elechap3b!AI200</f>
        <v>78.474603825744367</v>
      </c>
      <c r="S20" s="66">
        <f>elechap3b!AJ200</f>
        <v>73.267239042963993</v>
      </c>
      <c r="T20" s="66">
        <f>elechap3b!AK200</f>
        <v>67.16639758356132</v>
      </c>
      <c r="U20" s="66">
        <f>elechap3b!AL200</f>
        <v>73.724914077817658</v>
      </c>
      <c r="V20" s="66">
        <f>elechap3b!AM200</f>
        <v>72.999381116210927</v>
      </c>
      <c r="W20" s="71">
        <f>elechap3b!AN200</f>
        <v>72.125394748135207</v>
      </c>
      <c r="X20" s="71">
        <f>elechap3b!AO200</f>
        <v>83.477650800000021</v>
      </c>
      <c r="Y20" s="7"/>
      <c r="Z20" s="38">
        <f t="shared" si="1"/>
        <v>0.89888136908071203</v>
      </c>
      <c r="AA20" s="7"/>
      <c r="AB20" s="5">
        <f>[5]Final_quant._elec_w_ASM_87!CB107</f>
        <v>75.036505038745617</v>
      </c>
      <c r="AC20" s="5">
        <f>[5]Final_quant._elec_w_ASM_87!CC107</f>
        <v>77.692193284222668</v>
      </c>
      <c r="AD20" s="5">
        <f>[5]Final_quant._elec_w_ASM_87!CD107</f>
        <v>82.222593006052819</v>
      </c>
      <c r="AE20" s="5">
        <f>[5]Final_quant._elec_w_ASM_87!CE107</f>
        <v>83.868091472972651</v>
      </c>
      <c r="AF20" s="5">
        <f>[5]Final_quant._elec_w_ASM_87!CF107</f>
        <v>82.396721447131014</v>
      </c>
      <c r="AG20" s="5">
        <f>[5]Final_quant._elec_w_ASM_87!CG107</f>
        <v>76.935392520099057</v>
      </c>
      <c r="AH20" s="5">
        <f>[5]Final_quant._elec_w_ASM_87!CH107</f>
        <v>80.611369381665114</v>
      </c>
      <c r="AI20" s="5">
        <f>[5]Final_quant._elec_w_ASM_87!CI107</f>
        <v>85.185224707419891</v>
      </c>
      <c r="AJ20" s="5">
        <f>[5]Final_quant._elec_w_ASM_87!CJ107</f>
        <v>86.617117459273658</v>
      </c>
      <c r="AK20" s="5">
        <f>[5]Final_quant._elec_w_ASM_87!CK107</f>
        <v>87.864782932517485</v>
      </c>
      <c r="AL20" s="5">
        <f>[5]Final_quant._elec_w_ASM_87!CL107</f>
        <v>91.946374692000006</v>
      </c>
      <c r="AM20" s="5">
        <f>[5]Final_quant._elec_w_ASM_87!CM107</f>
        <v>92.773699392000012</v>
      </c>
      <c r="AN20" s="5">
        <f>[5]Final_quant._elec_w_ASM_87!CN107</f>
        <v>90.795930179999999</v>
      </c>
      <c r="AO20" s="5">
        <f>[5]Final_quant._elec_w_ASM_87!CO107</f>
        <v>94.666874887999995</v>
      </c>
      <c r="AP20" s="5">
        <f>[5]Final_quant._elec_w_ASM_87!CP107</f>
        <v>92.647602108000001</v>
      </c>
      <c r="AQ20" s="5">
        <f>[5]Final_quant._elec_w_ASM_87!CQ107</f>
        <v>82.569779015999998</v>
      </c>
      <c r="AR20" s="5">
        <f>[5]Final_quant._elec_w_ASM_87!CR107</f>
        <v>82.280649548</v>
      </c>
      <c r="AS20" s="5">
        <f>[5]Final_quant._elec_w_ASM_87!CS107</f>
        <v>96.618532063999993</v>
      </c>
      <c r="AT20" s="5">
        <f>[5]Final_quant._elec_w_ASM_87!CT107</f>
        <v>103.62875561200001</v>
      </c>
      <c r="AU20" s="5">
        <f>[5]Final_quant._elec_w_ASM_87!CU107</f>
        <v>106.736016244</v>
      </c>
      <c r="AV20" s="5">
        <f>[5]Final_quant._elec_w_ASM_87!CV107</f>
        <v>105.377490912</v>
      </c>
      <c r="AW20" s="5">
        <f>[5]Final_quant._elec_w_ASM_87!CW107</f>
        <v>102.92644659199999</v>
      </c>
      <c r="AX20" s="5">
        <f>[5]Final_quant._elec_w_ASM_87!CX107</f>
        <v>80.589184668000001</v>
      </c>
      <c r="AY20" s="5">
        <f>[5]Final_quant._elec_w_ASM_87!CY107</f>
        <v>80.164175712000002</v>
      </c>
      <c r="AZ20" s="5">
        <f>[5]Final_quant._elec_w_ASM_87!CZ107</f>
        <v>88.023710887999997</v>
      </c>
      <c r="BA20" s="5">
        <f>[5]Final_quant._elec_w_ASM_87!DA107</f>
        <v>83.639372775999988</v>
      </c>
      <c r="BB20" s="5">
        <f>[5]Final_quant._elec_w_ASM_87!DB107</f>
        <v>85.032806280000003</v>
      </c>
      <c r="BC20" s="5">
        <f>[5]Final_quant._elec_w_ASM_87!DC107</f>
        <v>87.051430780000004</v>
      </c>
      <c r="BD20" s="5">
        <f>[5]Final_quant._elec_w_ASM_87!DD107</f>
        <v>84.493259895999998</v>
      </c>
      <c r="BE20" s="5">
        <f>[5]Final_quant._elec_w_ASM_87!DE107</f>
        <v>83.189463043999993</v>
      </c>
      <c r="BF20" s="5">
        <f>[5]Final_quant._elec_w_ASM_87!DF107</f>
        <v>80.275877767999987</v>
      </c>
      <c r="BQ20">
        <f t="shared" si="2"/>
        <v>1980</v>
      </c>
      <c r="BR20" s="49">
        <v>145.15568679358793</v>
      </c>
      <c r="BS20" s="49">
        <v>86.588752680547699</v>
      </c>
      <c r="BT20" s="49">
        <v>27.573619569062824</v>
      </c>
      <c r="BU20" s="49">
        <v>45.376420085598738</v>
      </c>
      <c r="BV20" s="49">
        <v>163.09225818989452</v>
      </c>
      <c r="BW20" s="49">
        <v>23.550910729039504</v>
      </c>
      <c r="BX20" s="49">
        <v>109.93626091168396</v>
      </c>
      <c r="BY20" s="49">
        <v>445.86904553824206</v>
      </c>
      <c r="BZ20" s="49">
        <v>72.257017837631565</v>
      </c>
      <c r="CA20" s="49">
        <v>104.2765377722408</v>
      </c>
      <c r="CB20" s="49">
        <v>560.6368919977499</v>
      </c>
      <c r="CC20" s="49">
        <v>98.257936313930443</v>
      </c>
      <c r="CD20" s="49">
        <v>67.657653162344744</v>
      </c>
      <c r="CE20" s="49">
        <v>76.722165922369328</v>
      </c>
      <c r="CF20" s="49">
        <v>48.015074997710698</v>
      </c>
      <c r="CG20" s="49">
        <v>115.87371521980836</v>
      </c>
      <c r="CH20" s="49">
        <v>14.599259313499147</v>
      </c>
      <c r="CI20" s="49">
        <v>18.431041326642504</v>
      </c>
    </row>
    <row r="21" spans="6:87" x14ac:dyDescent="0.2">
      <c r="F21" t="s">
        <v>115</v>
      </c>
      <c r="G21" s="66">
        <f>elechap3b!X201</f>
        <v>50.18554177480771</v>
      </c>
      <c r="H21" s="66">
        <f>elechap3b!Y201</f>
        <v>50.535734431494923</v>
      </c>
      <c r="I21" s="66">
        <f>elechap3b!Z201</f>
        <v>54.009449019323796</v>
      </c>
      <c r="J21" s="66">
        <f>elechap3b!AA201</f>
        <v>56.71377236132053</v>
      </c>
      <c r="K21" s="66">
        <f>elechap3b!AB201</f>
        <v>53.655289846527779</v>
      </c>
      <c r="L21" s="66">
        <f>elechap3b!AC201</f>
        <v>54.950339982868947</v>
      </c>
      <c r="M21" s="66">
        <f>elechap3b!AD201</f>
        <v>54.297734592509848</v>
      </c>
      <c r="N21" s="66">
        <f>elechap3b!AE201</f>
        <v>56.4844388</v>
      </c>
      <c r="O21" s="66">
        <f>elechap3b!AF201</f>
        <v>60.140359700000005</v>
      </c>
      <c r="P21" s="66">
        <f>elechap3b!AG201</f>
        <v>64.616247899999991</v>
      </c>
      <c r="Q21" s="66">
        <f>elechap3b!AH201</f>
        <v>69.041168800000008</v>
      </c>
      <c r="R21" s="66">
        <f>elechap3b!AI201</f>
        <v>73.825581599999992</v>
      </c>
      <c r="S21" s="66">
        <f>elechap3b!AJ201</f>
        <v>78.8074376</v>
      </c>
      <c r="T21" s="66">
        <f>elechap3b!AK201</f>
        <v>82.613475599999987</v>
      </c>
      <c r="U21" s="66">
        <f>elechap3b!AL201</f>
        <v>89.650290000000012</v>
      </c>
      <c r="V21" s="66">
        <f>elechap3b!AM201</f>
        <v>94.876119200000019</v>
      </c>
      <c r="W21" s="71">
        <f>elechap3b!AN201</f>
        <v>99.118258799999992</v>
      </c>
      <c r="X21" s="71">
        <f>elechap3b!AO201</f>
        <v>105.55943240000001</v>
      </c>
      <c r="Y21" s="7"/>
      <c r="Z21" s="38">
        <f t="shared" si="1"/>
        <v>1.1112524201990237</v>
      </c>
      <c r="AA21" s="7"/>
      <c r="AB21" s="5">
        <f>[5]Final_quant._elec_w_ASM_87!CB108</f>
        <v>117.30317472933524</v>
      </c>
      <c r="AC21" s="5">
        <f>[5]Final_quant._elec_w_ASM_87!CC108</f>
        <v>120.097983423326</v>
      </c>
      <c r="AD21" s="5">
        <f>[5]Final_quant._elec_w_ASM_87!CD108</f>
        <v>123.33101691991858</v>
      </c>
      <c r="AE21" s="5">
        <f>[5]Final_quant._elec_w_ASM_87!CE108</f>
        <v>126.73288702710265</v>
      </c>
      <c r="AF21" s="5">
        <f>[5]Final_quant._elec_w_ASM_87!CF108</f>
        <v>125.49737823004109</v>
      </c>
      <c r="AG21" s="5">
        <f>[5]Final_quant._elec_w_ASM_87!CG108</f>
        <v>121.64152523659999</v>
      </c>
      <c r="AH21" s="5">
        <f>[5]Final_quant._elec_w_ASM_87!CH108</f>
        <v>123.37528963114035</v>
      </c>
      <c r="AI21" s="5">
        <f>[5]Final_quant._elec_w_ASM_87!CI108</f>
        <v>124.94734607198089</v>
      </c>
      <c r="AJ21" s="5">
        <f>[5]Final_quant._elec_w_ASM_87!CJ108</f>
        <v>125.59605384912012</v>
      </c>
      <c r="AK21" s="5">
        <f>[5]Final_quant._elec_w_ASM_87!CK108</f>
        <v>126.7992960939353</v>
      </c>
      <c r="AL21" s="5">
        <f>[5]Final_quant._elec_w_ASM_87!CL108</f>
        <v>128.99854854399999</v>
      </c>
      <c r="AM21" s="5">
        <f>[5]Final_quant._elec_w_ASM_87!CM108</f>
        <v>127.959284052</v>
      </c>
      <c r="AN21" s="5">
        <f>[5]Final_quant._elec_w_ASM_87!CN108</f>
        <v>123.546483036</v>
      </c>
      <c r="AO21" s="5">
        <f>[5]Final_quant._elec_w_ASM_87!CO108</f>
        <v>133.54378634</v>
      </c>
      <c r="AP21" s="5">
        <f>[5]Final_quant._elec_w_ASM_87!CP108</f>
        <v>128.93979731600001</v>
      </c>
      <c r="AQ21" s="5">
        <f>[5]Final_quant._elec_w_ASM_87!CQ108</f>
        <v>111.118071728</v>
      </c>
      <c r="AR21" s="5">
        <f>[5]Final_quant._elec_w_ASM_87!CR108</f>
        <v>112.69819281199999</v>
      </c>
      <c r="AS21" s="5">
        <f>[5]Final_quant._elec_w_ASM_87!CS108</f>
        <v>116.681218308</v>
      </c>
      <c r="AT21" s="5">
        <f>[5]Final_quant._elec_w_ASM_87!CT108</f>
        <v>116.74021861200001</v>
      </c>
      <c r="AU21" s="5">
        <f>[5]Final_quant._elec_w_ASM_87!CU108</f>
        <v>117.602925752</v>
      </c>
      <c r="AV21" s="5">
        <f>[5]Final_quant._elec_w_ASM_87!CV108</f>
        <v>115.96706964800001</v>
      </c>
      <c r="AW21" s="5">
        <f>[5]Final_quant._elec_w_ASM_87!CW108</f>
        <v>114.43627584799999</v>
      </c>
      <c r="AX21" s="5">
        <f>[5]Final_quant._elec_w_ASM_87!CX108</f>
        <v>100.66183054</v>
      </c>
      <c r="AY21" s="5">
        <f>[5]Final_quant._elec_w_ASM_87!CY108</f>
        <v>94.309365528000001</v>
      </c>
      <c r="AZ21" s="5">
        <f>[5]Final_quant._elec_w_ASM_87!CZ108</f>
        <v>94.879961112000004</v>
      </c>
      <c r="BA21" s="5">
        <f>[5]Final_quant._elec_w_ASM_87!DA108</f>
        <v>141.09177179600002</v>
      </c>
      <c r="BB21" s="5">
        <f>[5]Final_quant._elec_w_ASM_87!DB108</f>
        <v>126.094001656</v>
      </c>
      <c r="BC21" s="5">
        <f>[5]Final_quant._elec_w_ASM_87!DC108</f>
        <v>150.502760432</v>
      </c>
      <c r="BD21" s="5">
        <f>[5]Final_quant._elec_w_ASM_87!DD108</f>
        <v>161.45564210399999</v>
      </c>
      <c r="BE21" s="5">
        <f>[5]Final_quant._elec_w_ASM_87!DE108</f>
        <v>165.44328744799998</v>
      </c>
      <c r="BF21" s="5">
        <f>[5]Final_quant._elec_w_ASM_87!DF108</f>
        <v>161.63330153200002</v>
      </c>
      <c r="BQ21">
        <f t="shared" si="2"/>
        <v>1981</v>
      </c>
      <c r="BR21" s="49">
        <v>146.31153632199968</v>
      </c>
      <c r="BS21" s="49">
        <v>86.162742213875276</v>
      </c>
      <c r="BT21" s="49">
        <v>27.34181108172308</v>
      </c>
      <c r="BU21" s="49">
        <v>45.110667718491783</v>
      </c>
      <c r="BV21" s="49">
        <v>171.34577086663123</v>
      </c>
      <c r="BW21" s="49">
        <v>25.410316204946319</v>
      </c>
      <c r="BX21" s="49">
        <v>111.07655404266006</v>
      </c>
      <c r="BY21" s="49">
        <v>443.64159968298549</v>
      </c>
      <c r="BZ21" s="49">
        <v>76.434622627708279</v>
      </c>
      <c r="CA21" s="49">
        <v>102.92004613421788</v>
      </c>
      <c r="CB21" s="49">
        <v>565.61834507636979</v>
      </c>
      <c r="CC21" s="49">
        <v>98.168027240306643</v>
      </c>
      <c r="CD21" s="49">
        <v>70.539359324951576</v>
      </c>
      <c r="CE21" s="49">
        <v>82.038856225600497</v>
      </c>
      <c r="CF21" s="49">
        <v>47.519846717161876</v>
      </c>
      <c r="CG21" s="49">
        <v>116.16068263250745</v>
      </c>
      <c r="CH21" s="49">
        <v>15.055654728339254</v>
      </c>
      <c r="CI21" s="49">
        <v>18.627860226114883</v>
      </c>
    </row>
    <row r="22" spans="6:87" x14ac:dyDescent="0.2">
      <c r="F22" t="s">
        <v>116</v>
      </c>
      <c r="G22" s="66">
        <f>elechap3b!X202</f>
        <v>37.537090466953906</v>
      </c>
      <c r="H22" s="66">
        <f>elechap3b!Y202</f>
        <v>36.886271550190209</v>
      </c>
      <c r="I22" s="66">
        <f>elechap3b!Z202</f>
        <v>39.575123296774301</v>
      </c>
      <c r="J22" s="66">
        <f>elechap3b!AA202</f>
        <v>42.700386706676042</v>
      </c>
      <c r="K22" s="66">
        <f>elechap3b!AB202</f>
        <v>41.471221331141969</v>
      </c>
      <c r="L22" s="66">
        <f>elechap3b!AC202</f>
        <v>38.908819114681236</v>
      </c>
      <c r="M22" s="66">
        <f>elechap3b!AD202</f>
        <v>39.149658660532729</v>
      </c>
      <c r="N22" s="66">
        <f>elechap3b!AE202</f>
        <v>41.659875999999997</v>
      </c>
      <c r="O22" s="66">
        <f>elechap3b!AF202</f>
        <v>43.542511008000005</v>
      </c>
      <c r="P22" s="66">
        <f>elechap3b!AG202</f>
        <v>44.847498591999994</v>
      </c>
      <c r="Q22" s="66">
        <f>elechap3b!AH202</f>
        <v>42.1731336</v>
      </c>
      <c r="R22" s="66">
        <f>elechap3b!AI202</f>
        <v>41.738159200000005</v>
      </c>
      <c r="S22" s="66">
        <f>elechap3b!AJ202</f>
        <v>42.410508799999995</v>
      </c>
      <c r="T22" s="66">
        <f>elechap3b!AK202</f>
        <v>42.506738399999996</v>
      </c>
      <c r="U22" s="66">
        <f>elechap3b!AL202</f>
        <v>45.069363199999998</v>
      </c>
      <c r="V22" s="66">
        <f>elechap3b!AM202</f>
        <v>43.0567104</v>
      </c>
      <c r="W22" s="71">
        <f>elechap3b!AN202</f>
        <v>43.779372000000002</v>
      </c>
      <c r="X22" s="71">
        <f>elechap3b!AO202</f>
        <v>45.316819199999998</v>
      </c>
      <c r="Y22" s="7"/>
      <c r="Z22" s="38">
        <f t="shared" si="1"/>
        <v>1.1385228200759239</v>
      </c>
      <c r="AA22" s="7"/>
      <c r="AB22" s="5">
        <f>[5]Final_quant._elec_w_ASM_87!CB109</f>
        <v>51.594232792454768</v>
      </c>
      <c r="AC22" s="5">
        <f>[5]Final_quant._elec_w_ASM_87!CC109</f>
        <v>53.163690091160618</v>
      </c>
      <c r="AD22" s="5">
        <f>[5]Final_quant._elec_w_ASM_87!CD109</f>
        <v>53.39730074266356</v>
      </c>
      <c r="AE22" s="5">
        <f>[5]Final_quant._elec_w_ASM_87!CE109</f>
        <v>53.927901631120662</v>
      </c>
      <c r="AF22" s="5">
        <f>[5]Final_quant._elec_w_ASM_87!CF109</f>
        <v>51.473161533067156</v>
      </c>
      <c r="AG22" s="5">
        <f>[5]Final_quant._elec_w_ASM_87!CG109</f>
        <v>49.12202268046277</v>
      </c>
      <c r="AH22" s="5">
        <f>[5]Final_quant._elec_w_ASM_87!CH109</f>
        <v>51.668175642147865</v>
      </c>
      <c r="AI22" s="5">
        <f>[5]Final_quant._elec_w_ASM_87!CI109</f>
        <v>52.586367072402908</v>
      </c>
      <c r="AJ22" s="5">
        <f>[5]Final_quant._elec_w_ASM_87!CJ109</f>
        <v>53.684133994769773</v>
      </c>
      <c r="AK22" s="5">
        <f>[5]Final_quant._elec_w_ASM_87!CK109</f>
        <v>53.999000525056346</v>
      </c>
      <c r="AL22" s="5">
        <f>[5]Final_quant._elec_w_ASM_87!CL109</f>
        <v>56.083009879999999</v>
      </c>
      <c r="AM22" s="5">
        <f>[5]Final_quant._elec_w_ASM_87!CM109</f>
        <v>55.019660080000001</v>
      </c>
      <c r="AN22" s="5">
        <f>[5]Final_quant._elec_w_ASM_87!CN109</f>
        <v>54.704630119999997</v>
      </c>
      <c r="AO22" s="5">
        <f>[5]Final_quant._elec_w_ASM_87!CO109</f>
        <v>55.079076648000004</v>
      </c>
      <c r="AP22" s="5">
        <f>[5]Final_quant._elec_w_ASM_87!CP109</f>
        <v>52.979321611999993</v>
      </c>
      <c r="AQ22" s="5">
        <f>[5]Final_quant._elec_w_ASM_87!CQ109</f>
        <v>47.035614199999998</v>
      </c>
      <c r="AR22" s="5">
        <f>[5]Final_quant._elec_w_ASM_87!CR109</f>
        <v>46.385491719999997</v>
      </c>
      <c r="AS22" s="5">
        <f>[5]Final_quant._elec_w_ASM_87!CS109</f>
        <v>48.922020288000006</v>
      </c>
      <c r="AT22" s="5">
        <f>[5]Final_quant._elec_w_ASM_87!CT109</f>
        <v>51.191931763999996</v>
      </c>
      <c r="AU22" s="5">
        <f>[5]Final_quant._elec_w_ASM_87!CU109</f>
        <v>51.663726063999995</v>
      </c>
      <c r="AV22" s="5">
        <f>[5]Final_quant._elec_w_ASM_87!CV109</f>
        <v>52.612490668</v>
      </c>
      <c r="AW22" s="5">
        <f>[5]Final_quant._elec_w_ASM_87!CW109</f>
        <v>50.072976600000004</v>
      </c>
      <c r="AX22" s="5">
        <f>[5]Final_quant._elec_w_ASM_87!CX109</f>
        <v>39.156026699999998</v>
      </c>
      <c r="AY22" s="5">
        <f>[5]Final_quant._elec_w_ASM_87!CY109</f>
        <v>39.913531644000003</v>
      </c>
      <c r="AZ22" s="5">
        <f>[5]Final_quant._elec_w_ASM_87!CZ109</f>
        <v>43.524294291999993</v>
      </c>
      <c r="BA22" s="5">
        <f>[5]Final_quant._elec_w_ASM_87!DA109</f>
        <v>42.068765799999994</v>
      </c>
      <c r="BB22" s="5">
        <f>[5]Final_quant._elec_w_ASM_87!DB109</f>
        <v>38.609277583999997</v>
      </c>
      <c r="BC22" s="5">
        <f>[5]Final_quant._elec_w_ASM_87!DC109</f>
        <v>36.611210383999996</v>
      </c>
      <c r="BD22" s="5">
        <f>[5]Final_quant._elec_w_ASM_87!DD109</f>
        <v>36.592806056000001</v>
      </c>
      <c r="BE22" s="5">
        <f>[5]Final_quant._elec_w_ASM_87!DE109</f>
        <v>34.956301671999995</v>
      </c>
      <c r="BF22" s="5">
        <f>[5]Final_quant._elec_w_ASM_87!DF109</f>
        <v>32.039222507999995</v>
      </c>
      <c r="BQ22">
        <f t="shared" si="2"/>
        <v>1982</v>
      </c>
      <c r="BR22" s="49">
        <v>161.86997148928734</v>
      </c>
      <c r="BS22" s="49">
        <v>81.205529510778092</v>
      </c>
      <c r="BT22" s="49">
        <v>27.330220657356094</v>
      </c>
      <c r="BU22" s="49">
        <v>45.377001021697438</v>
      </c>
      <c r="BV22" s="49">
        <v>165.89954924837659</v>
      </c>
      <c r="BW22" s="49">
        <v>26.056743187171495</v>
      </c>
      <c r="BX22" s="49">
        <v>116.66999192723749</v>
      </c>
      <c r="BY22" s="49">
        <v>404.67805638453848</v>
      </c>
      <c r="BZ22" s="49">
        <v>102.73309940006341</v>
      </c>
      <c r="CA22" s="49">
        <v>95.280012728337027</v>
      </c>
      <c r="CB22" s="49">
        <v>409.27743103280136</v>
      </c>
      <c r="CC22" s="49">
        <v>98.27917660387196</v>
      </c>
      <c r="CD22" s="49">
        <v>65.858556139703268</v>
      </c>
      <c r="CE22" s="49">
        <v>87.574955762683544</v>
      </c>
      <c r="CF22" s="49">
        <v>48.285332079830781</v>
      </c>
      <c r="CG22" s="49">
        <v>111.13395505936607</v>
      </c>
      <c r="CH22" s="49">
        <v>14.591748829131578</v>
      </c>
      <c r="CI22" s="49">
        <v>19.102441732568916</v>
      </c>
    </row>
    <row r="23" spans="6:87" x14ac:dyDescent="0.2">
      <c r="F23" t="s">
        <v>117</v>
      </c>
      <c r="G23" s="66">
        <f>elechap3b!X203</f>
        <v>109.60252411997502</v>
      </c>
      <c r="H23" s="66">
        <f>elechap3b!Y203</f>
        <v>114.83410530547715</v>
      </c>
      <c r="I23" s="66">
        <f>elechap3b!Z203</f>
        <v>118.76629628384964</v>
      </c>
      <c r="J23" s="66">
        <f>elechap3b!AA203</f>
        <v>127.99463867864203</v>
      </c>
      <c r="K23" s="66">
        <f>elechap3b!AB203</f>
        <v>112.95153456069801</v>
      </c>
      <c r="L23" s="66">
        <f>elechap3b!AC203</f>
        <v>110.5203270991472</v>
      </c>
      <c r="M23" s="66">
        <f>elechap3b!AD203</f>
        <v>117.83337169197596</v>
      </c>
      <c r="N23" s="66">
        <f>elechap3b!AE203</f>
        <v>123.3755608</v>
      </c>
      <c r="O23" s="66">
        <f>elechap3b!AF203</f>
        <v>124.919146252</v>
      </c>
      <c r="P23" s="66">
        <f>elechap3b!AG203</f>
        <v>124.76377974799999</v>
      </c>
      <c r="Q23" s="66">
        <f>elechap3b!AH203</f>
        <v>117.09936519999999</v>
      </c>
      <c r="R23" s="66">
        <f>elechap3b!AI203</f>
        <v>117.38936800000002</v>
      </c>
      <c r="S23" s="66">
        <f>elechap3b!AJ203</f>
        <v>112.3094704</v>
      </c>
      <c r="T23" s="66">
        <f>elechap3b!AK203</f>
        <v>119.7416544</v>
      </c>
      <c r="U23" s="66">
        <f>elechap3b!AL203</f>
        <v>139.87194399999998</v>
      </c>
      <c r="V23" s="66">
        <f>elechap3b!AM203</f>
        <v>134.85349959999999</v>
      </c>
      <c r="W23" s="71">
        <f>elechap3b!AN203</f>
        <v>139.39896600000003</v>
      </c>
      <c r="X23" s="71">
        <f>elechap3b!AO203</f>
        <v>150.05157120000001</v>
      </c>
      <c r="Y23" s="7"/>
      <c r="Z23" s="38">
        <f t="shared" si="1"/>
        <v>0.98953324829645073</v>
      </c>
      <c r="AA23" s="7"/>
      <c r="AB23" s="5">
        <f>[5]Final_quant._elec_w_ASM_87!CB110</f>
        <v>148.48101866152217</v>
      </c>
      <c r="AC23" s="5">
        <f>[5]Final_quant._elec_w_ASM_87!CC110</f>
        <v>154.05119390842597</v>
      </c>
      <c r="AD23" s="5">
        <f>[5]Final_quant._elec_w_ASM_87!CD110</f>
        <v>152.37196480633253</v>
      </c>
      <c r="AE23" s="5">
        <f>[5]Final_quant._elec_w_ASM_87!CE110</f>
        <v>153.23725770984589</v>
      </c>
      <c r="AF23" s="5">
        <f>[5]Final_quant._elec_w_ASM_87!CF110</f>
        <v>146.74468901249639</v>
      </c>
      <c r="AG23" s="5">
        <f>[5]Final_quant._elec_w_ASM_87!CG110</f>
        <v>151.69351570431976</v>
      </c>
      <c r="AH23" s="5">
        <f>[5]Final_quant._elec_w_ASM_87!CH110</f>
        <v>158.65707944559645</v>
      </c>
      <c r="AI23" s="5">
        <f>[5]Final_quant._elec_w_ASM_87!CI110</f>
        <v>162.54126812923144</v>
      </c>
      <c r="AJ23" s="5">
        <f>[5]Final_quant._elec_w_ASM_87!CJ110</f>
        <v>165.69294802145021</v>
      </c>
      <c r="AK23" s="5">
        <f>[5]Final_quant._elec_w_ASM_87!CK110</f>
        <v>164.64250068173021</v>
      </c>
      <c r="AL23" s="5">
        <f>[5]Final_quant._elec_w_ASM_87!CL110</f>
        <v>181.49709206</v>
      </c>
      <c r="AM23" s="5">
        <f>[5]Final_quant._elec_w_ASM_87!CM110</f>
        <v>175.71835826</v>
      </c>
      <c r="AN23" s="5">
        <f>[5]Final_quant._elec_w_ASM_87!CN110</f>
        <v>181.08791137200001</v>
      </c>
      <c r="AO23" s="5">
        <f>[5]Final_quant._elec_w_ASM_87!CO110</f>
        <v>186.38836807199999</v>
      </c>
      <c r="AP23" s="5">
        <f>[5]Final_quant._elec_w_ASM_87!CP110</f>
        <v>189.42251977999999</v>
      </c>
      <c r="AQ23" s="5">
        <f>[5]Final_quant._elec_w_ASM_87!CQ110</f>
        <v>181.823920716</v>
      </c>
      <c r="AR23" s="5">
        <f>[5]Final_quant._elec_w_ASM_87!CR110</f>
        <v>178.301098956</v>
      </c>
      <c r="AS23" s="5">
        <f>[5]Final_quant._elec_w_ASM_87!CS110</f>
        <v>192.51036271999999</v>
      </c>
      <c r="AT23" s="5">
        <f>[5]Final_quant._elec_w_ASM_87!CT110</f>
        <v>196.24766279999997</v>
      </c>
      <c r="AU23" s="5">
        <f>[5]Final_quant._elec_w_ASM_87!CU110</f>
        <v>189.979061336</v>
      </c>
      <c r="AV23" s="5">
        <f>[5]Final_quant._elec_w_ASM_87!CV110</f>
        <v>194.72188122799997</v>
      </c>
      <c r="AW23" s="5">
        <f>[5]Final_quant._elec_w_ASM_87!CW110</f>
        <v>189.70901518399998</v>
      </c>
      <c r="AX23" s="5">
        <f>[5]Final_quant._elec_w_ASM_87!CX110</f>
        <v>149.042844108</v>
      </c>
      <c r="AY23" s="5">
        <f>[5]Final_quant._elec_w_ASM_87!CY110</f>
        <v>176.70813510400001</v>
      </c>
      <c r="AZ23" s="5">
        <f>[5]Final_quant._elec_w_ASM_87!CZ110</f>
        <v>197.729702532</v>
      </c>
      <c r="BA23" s="5">
        <f>[5]Final_quant._elec_w_ASM_87!DA110</f>
        <v>195.46619537999999</v>
      </c>
      <c r="BB23" s="5">
        <f>[5]Final_quant._elec_w_ASM_87!DB110</f>
        <v>194.855908</v>
      </c>
      <c r="BC23" s="5">
        <f>[5]Final_quant._elec_w_ASM_87!DC110</f>
        <v>199.433143532</v>
      </c>
      <c r="BD23" s="5">
        <f>[5]Final_quant._elec_w_ASM_87!DD110</f>
        <v>208.29709303199999</v>
      </c>
      <c r="BE23" s="5">
        <f>[5]Final_quant._elec_w_ASM_87!DE110</f>
        <v>214.03997353599999</v>
      </c>
      <c r="BF23" s="5">
        <f>[5]Final_quant._elec_w_ASM_87!DF110</f>
        <v>199.60534375999998</v>
      </c>
      <c r="BQ23">
        <f t="shared" si="2"/>
        <v>1983</v>
      </c>
      <c r="BR23" s="49">
        <v>155.10299788658594</v>
      </c>
      <c r="BS23" s="49">
        <v>88.205892190399538</v>
      </c>
      <c r="BT23" s="49">
        <v>27.291585909466132</v>
      </c>
      <c r="BU23" s="49">
        <v>47.857613441141645</v>
      </c>
      <c r="BV23" s="49">
        <v>170.08451021629881</v>
      </c>
      <c r="BW23" s="49">
        <v>26.455827776869281</v>
      </c>
      <c r="BX23" s="49">
        <v>114.14034163930897</v>
      </c>
      <c r="BY23" s="49">
        <v>428.97681935549195</v>
      </c>
      <c r="BZ23" s="49">
        <v>106.87941859377166</v>
      </c>
      <c r="CA23" s="49">
        <v>95.532476460081341</v>
      </c>
      <c r="CB23" s="49">
        <v>399.59100184924336</v>
      </c>
      <c r="CC23" s="49">
        <v>93.823028041871936</v>
      </c>
      <c r="CD23" s="49">
        <v>60.37462341613103</v>
      </c>
      <c r="CE23" s="49">
        <v>91.804424701552975</v>
      </c>
      <c r="CF23" s="49">
        <v>48.39489167539756</v>
      </c>
      <c r="CG23" s="49">
        <v>118.48834823482299</v>
      </c>
      <c r="CH23" s="49">
        <v>15.657903048161847</v>
      </c>
      <c r="CI23" s="49">
        <v>19.325603339831339</v>
      </c>
    </row>
    <row r="24" spans="6:87" x14ac:dyDescent="0.2">
      <c r="F24" t="s">
        <v>118</v>
      </c>
      <c r="G24" s="66">
        <f>elechap3b!X204</f>
        <v>12.631474963369735</v>
      </c>
      <c r="H24" s="66">
        <f>elechap3b!Y204</f>
        <v>12.521852634895842</v>
      </c>
      <c r="I24" s="66">
        <f>elechap3b!Z204</f>
        <v>12.923134843860135</v>
      </c>
      <c r="J24" s="66">
        <f>elechap3b!AA204</f>
        <v>14.196657146523886</v>
      </c>
      <c r="K24" s="66">
        <f>elechap3b!AB204</f>
        <v>15.043769888897591</v>
      </c>
      <c r="L24" s="66">
        <f>elechap3b!AC204</f>
        <v>14.611458289395816</v>
      </c>
      <c r="M24" s="66">
        <f>elechap3b!AD204</f>
        <v>14.903321573756507</v>
      </c>
      <c r="N24" s="66">
        <f>elechap3b!AE204</f>
        <v>15.7177568</v>
      </c>
      <c r="O24" s="66">
        <f>elechap3b!AF204</f>
        <v>15.910832992000001</v>
      </c>
      <c r="P24" s="66">
        <f>elechap3b!AG204</f>
        <v>15.124063008000002</v>
      </c>
      <c r="Q24" s="66">
        <f>elechap3b!AH204</f>
        <v>14.8191392</v>
      </c>
      <c r="R24" s="66">
        <f>elechap3b!AI204</f>
        <v>15.282408400000001</v>
      </c>
      <c r="S24" s="66">
        <f>elechap3b!AJ204</f>
        <v>14.8115156</v>
      </c>
      <c r="T24" s="66">
        <f>elechap3b!AK204</f>
        <v>15.893727200000001</v>
      </c>
      <c r="U24" s="66">
        <f>elechap3b!AL204</f>
        <v>17.164043199999998</v>
      </c>
      <c r="V24" s="66">
        <f>elechap3b!AM204</f>
        <v>16.8351492</v>
      </c>
      <c r="W24" s="71">
        <f>elechap3b!AN204</f>
        <v>17.583059599999999</v>
      </c>
      <c r="X24" s="71">
        <f>elechap3b!AO204</f>
        <v>21.681554000000002</v>
      </c>
      <c r="Y24" s="7"/>
      <c r="Z24" s="38">
        <f t="shared" si="1"/>
        <v>0.98516243868598963</v>
      </c>
      <c r="AA24" s="7"/>
      <c r="AB24" s="5">
        <f>[5]Final_quant._elec_w_ASM_87!CB111</f>
        <v>21.359852613141975</v>
      </c>
      <c r="AC24" s="5">
        <f>[5]Final_quant._elec_w_ASM_87!CC111</f>
        <v>22.199010092285135</v>
      </c>
      <c r="AD24" s="5">
        <f>[5]Final_quant._elec_w_ASM_87!CD111</f>
        <v>23.355205032498805</v>
      </c>
      <c r="AE24" s="5">
        <f>[5]Final_quant._elec_w_ASM_87!CE111</f>
        <v>22.280034512346635</v>
      </c>
      <c r="AF24" s="5">
        <f>[5]Final_quant._elec_w_ASM_87!CF111</f>
        <v>21.53568569070282</v>
      </c>
      <c r="AG24" s="5">
        <f>[5]Final_quant._elec_w_ASM_87!CG111</f>
        <v>22.237673197293738</v>
      </c>
      <c r="AH24" s="5">
        <f>[5]Final_quant._elec_w_ASM_87!CH111</f>
        <v>24.134854950020038</v>
      </c>
      <c r="AI24" s="5">
        <f>[5]Final_quant._elec_w_ASM_87!CI111</f>
        <v>24.760861050246227</v>
      </c>
      <c r="AJ24" s="5">
        <f>[5]Final_quant._elec_w_ASM_87!CJ111</f>
        <v>25.688439369539484</v>
      </c>
      <c r="AK24" s="5">
        <f>[5]Final_quant._elec_w_ASM_87!CK111</f>
        <v>25.845108995052591</v>
      </c>
      <c r="AL24" s="5">
        <f>[5]Final_quant._elec_w_ASM_87!CL111</f>
        <v>28.695360147999999</v>
      </c>
      <c r="AM24" s="5">
        <f>[5]Final_quant._elec_w_ASM_87!CM111</f>
        <v>28.813957855999998</v>
      </c>
      <c r="AN24" s="5">
        <f>[5]Final_quant._elec_w_ASM_87!CN111</f>
        <v>28.427545444</v>
      </c>
      <c r="AO24" s="5">
        <f>[5]Final_quant._elec_w_ASM_87!CO111</f>
        <v>29.604579672</v>
      </c>
      <c r="AP24" s="5">
        <f>[5]Final_quant._elec_w_ASM_87!CP111</f>
        <v>27.776730327999999</v>
      </c>
      <c r="AQ24" s="5">
        <f>[5]Final_quant._elec_w_ASM_87!CQ111</f>
        <v>27.030744296000002</v>
      </c>
      <c r="AR24" s="5">
        <f>[5]Final_quant._elec_w_ASM_87!CR111</f>
        <v>27.583007204000001</v>
      </c>
      <c r="AS24" s="5">
        <f>[5]Final_quant._elec_w_ASM_87!CS111</f>
        <v>33.419383331999995</v>
      </c>
      <c r="AT24" s="5">
        <f>[5]Final_quant._elec_w_ASM_87!CT111</f>
        <v>33.400091883999998</v>
      </c>
      <c r="AU24" s="5">
        <f>[5]Final_quant._elec_w_ASM_87!CU111</f>
        <v>32.803670871999998</v>
      </c>
      <c r="AV24" s="5">
        <f>[5]Final_quant._elec_w_ASM_87!CV111</f>
        <v>29.471651563999998</v>
      </c>
      <c r="AW24" s="5">
        <f>[5]Final_quant._elec_w_ASM_87!CW111</f>
        <v>27.580656336000001</v>
      </c>
      <c r="AX24" s="5">
        <f>[5]Final_quant._elec_w_ASM_87!CX111</f>
        <v>20.005828676</v>
      </c>
      <c r="AY24" s="5">
        <f>[5]Final_quant._elec_w_ASM_87!CY111</f>
        <v>19.100546599999998</v>
      </c>
      <c r="AZ24" s="5">
        <f>[5]Final_quant._elec_w_ASM_87!CZ111</f>
        <v>18.576064195999997</v>
      </c>
      <c r="BA24" s="5">
        <f>[5]Final_quant._elec_w_ASM_87!DA111</f>
        <v>17.142860419999998</v>
      </c>
      <c r="BB24" s="5">
        <f>[5]Final_quant._elec_w_ASM_87!DB111</f>
        <v>17.870271524</v>
      </c>
      <c r="BC24" s="5">
        <f>[5]Final_quant._elec_w_ASM_87!DC111</f>
        <v>17.811506647999998</v>
      </c>
      <c r="BD24" s="5">
        <f>[5]Final_quant._elec_w_ASM_87!DD111</f>
        <v>18.329444836</v>
      </c>
      <c r="BE24" s="5">
        <f>[5]Final_quant._elec_w_ASM_87!DE111</f>
        <v>18.839074804000003</v>
      </c>
      <c r="BF24" s="5">
        <f>[5]Final_quant._elec_w_ASM_87!DF111</f>
        <v>17.329742484000001</v>
      </c>
      <c r="BQ24">
        <f t="shared" si="2"/>
        <v>1984</v>
      </c>
      <c r="BR24" s="49">
        <v>159.71338643844123</v>
      </c>
      <c r="BS24" s="49">
        <v>90.093184679116774</v>
      </c>
      <c r="BT24" s="49">
        <v>30.22396327431392</v>
      </c>
      <c r="BU24" s="49">
        <v>51.647936420314139</v>
      </c>
      <c r="BV24" s="49">
        <v>175.96365883123499</v>
      </c>
      <c r="BW24" s="49">
        <v>32.066297818155704</v>
      </c>
      <c r="BX24" s="49">
        <v>118.75852881976211</v>
      </c>
      <c r="BY24" s="49">
        <v>461.3707685856312</v>
      </c>
      <c r="BZ24" s="49">
        <v>98.576025782603509</v>
      </c>
      <c r="CA24" s="49">
        <v>102.69563392822297</v>
      </c>
      <c r="CB24" s="49">
        <v>477.04349489887937</v>
      </c>
      <c r="CC24" s="49">
        <v>103.75610658890153</v>
      </c>
      <c r="CD24" s="49">
        <v>66.269951701626596</v>
      </c>
      <c r="CE24" s="49">
        <v>99.624101734044345</v>
      </c>
      <c r="CF24" s="49">
        <v>51.312498489490061</v>
      </c>
      <c r="CG24" s="49">
        <v>138.40793909185925</v>
      </c>
      <c r="CH24" s="49">
        <v>16.909370656623675</v>
      </c>
      <c r="CI24" s="49">
        <v>20.284003346797792</v>
      </c>
    </row>
    <row r="25" spans="6:87" x14ac:dyDescent="0.2">
      <c r="F25" t="s">
        <v>119</v>
      </c>
      <c r="G25" s="66">
        <f>elechap3b!X205</f>
        <v>15.036238412445559</v>
      </c>
      <c r="H25" s="66">
        <f>elechap3b!Y205</f>
        <v>17.025238460265864</v>
      </c>
      <c r="I25" s="66">
        <f>elechap3b!Z205</f>
        <v>19.1050042864278</v>
      </c>
      <c r="J25" s="66">
        <f>elechap3b!AA205</f>
        <v>19.148083576481536</v>
      </c>
      <c r="K25" s="66">
        <f>elechap3b!AB205</f>
        <v>18.184177545381896</v>
      </c>
      <c r="L25" s="66">
        <f>elechap3b!AC205</f>
        <v>17.607198958990722</v>
      </c>
      <c r="M25" s="66">
        <f>elechap3b!AD205</f>
        <v>17.138340826917922</v>
      </c>
      <c r="N25" s="66">
        <f>elechap3b!AE205</f>
        <v>18.964561199999999</v>
      </c>
      <c r="O25" s="66">
        <f>elechap3b!AF205</f>
        <v>18.673640299999999</v>
      </c>
      <c r="P25" s="66">
        <f>elechap3b!AG205</f>
        <v>17.836752100000002</v>
      </c>
      <c r="Q25" s="66">
        <f>elechap3b!AH205</f>
        <v>17.7538312</v>
      </c>
      <c r="R25" s="66">
        <f>elechap3b!AI205</f>
        <v>17.943418399999999</v>
      </c>
      <c r="S25" s="66">
        <f>elechap3b!AJ205</f>
        <v>18.400562399999998</v>
      </c>
      <c r="T25" s="66">
        <f>elechap3b!AK205</f>
        <v>18.615524399999998</v>
      </c>
      <c r="U25" s="66">
        <f>elechap3b!AL205</f>
        <v>19.538709999999998</v>
      </c>
      <c r="V25" s="66">
        <f>elechap3b!AM205</f>
        <v>18.941718000000002</v>
      </c>
      <c r="W25" s="71">
        <f>elechap3b!AN205</f>
        <v>19.592045200000001</v>
      </c>
      <c r="X25" s="71">
        <f>elechap3b!AO205</f>
        <v>24.3555384</v>
      </c>
      <c r="Y25" s="7"/>
      <c r="Z25" s="38">
        <f t="shared" si="1"/>
        <v>1.038144450007078</v>
      </c>
      <c r="AA25" s="7"/>
      <c r="AB25" s="5">
        <f>[5]Final_quant._elec_w_ASM_87!CB112</f>
        <v>25.284567016894268</v>
      </c>
      <c r="AC25" s="5">
        <f>[5]Final_quant._elec_w_ASM_87!CC112</f>
        <v>26.64857301611816</v>
      </c>
      <c r="AD25" s="5">
        <f>[5]Final_quant._elec_w_ASM_87!CD112</f>
        <v>27.664804893891468</v>
      </c>
      <c r="AE25" s="5">
        <f>[5]Final_quant._elec_w_ASM_87!CE112</f>
        <v>29.85303894726405</v>
      </c>
      <c r="AF25" s="5">
        <f>[5]Final_quant._elec_w_ASM_87!CF112</f>
        <v>28.863897556069173</v>
      </c>
      <c r="AG25" s="5">
        <f>[5]Final_quant._elec_w_ASM_87!CG112</f>
        <v>27.325157918414416</v>
      </c>
      <c r="AH25" s="5">
        <f>[5]Final_quant._elec_w_ASM_87!CH112</f>
        <v>30.172706688889512</v>
      </c>
      <c r="AI25" s="5">
        <f>[5]Final_quant._elec_w_ASM_87!CI112</f>
        <v>30.71790273128039</v>
      </c>
      <c r="AJ25" s="5">
        <f>[5]Final_quant._elec_w_ASM_87!CJ112</f>
        <v>32.973185738934589</v>
      </c>
      <c r="AK25" s="5">
        <f>[5]Final_quant._elec_w_ASM_87!CK112</f>
        <v>33.488920877171424</v>
      </c>
      <c r="AL25" s="5">
        <f>[5]Final_quant._elec_w_ASM_87!CL112</f>
        <v>34.532872472000001</v>
      </c>
      <c r="AM25" s="5">
        <f>[5]Final_quant._elec_w_ASM_87!CM112</f>
        <v>35.481852031999999</v>
      </c>
      <c r="AN25" s="5">
        <f>[5]Final_quant._elec_w_ASM_87!CN112</f>
        <v>35.006884571999997</v>
      </c>
      <c r="AO25" s="5">
        <f>[5]Final_quant._elec_w_ASM_87!CO112</f>
        <v>36.657630644000001</v>
      </c>
      <c r="AP25" s="5">
        <f>[5]Final_quant._elec_w_ASM_87!CP112</f>
        <v>37.375102591999998</v>
      </c>
      <c r="AQ25" s="5">
        <f>[5]Final_quant._elec_w_ASM_87!CQ112</f>
        <v>35.271246332000004</v>
      </c>
      <c r="AR25" s="5">
        <f>[5]Final_quant._elec_w_ASM_87!CR112</f>
        <v>36.568011052000003</v>
      </c>
      <c r="AS25" s="5">
        <f>[5]Final_quant._elec_w_ASM_87!CS112</f>
        <v>43.772309159999999</v>
      </c>
      <c r="AT25" s="5">
        <f>[5]Final_quant._elec_w_ASM_87!CT112</f>
        <v>44.576063763999997</v>
      </c>
      <c r="AU25" s="5">
        <f>[5]Final_quant._elec_w_ASM_87!CU112</f>
        <v>43.850928463999999</v>
      </c>
      <c r="AV25" s="5">
        <f>[5]Final_quant._elec_w_ASM_87!CV112</f>
        <v>40.031696027999999</v>
      </c>
      <c r="AW25" s="5">
        <f>[5]Final_quant._elec_w_ASM_87!CW112</f>
        <v>39.769118744000004</v>
      </c>
      <c r="AX25" s="5">
        <f>[5]Final_quant._elec_w_ASM_87!CX112</f>
        <v>34.883922916000003</v>
      </c>
      <c r="AY25" s="5">
        <f>[5]Final_quant._elec_w_ASM_87!CY112</f>
        <v>35.953311956</v>
      </c>
      <c r="AZ25" s="5">
        <f>[5]Final_quant._elec_w_ASM_87!CZ112</f>
        <v>36.712505839999999</v>
      </c>
      <c r="BA25" s="5">
        <f>[5]Final_quant._elec_w_ASM_87!DA112</f>
        <v>31.878974516</v>
      </c>
      <c r="BB25" s="5">
        <f>[5]Final_quant._elec_w_ASM_87!DB112</f>
        <v>33.50428754</v>
      </c>
      <c r="BC25" s="5">
        <f>[5]Final_quant._elec_w_ASM_87!DC112</f>
        <v>32.096567991999997</v>
      </c>
      <c r="BD25" s="5">
        <f>[5]Final_quant._elec_w_ASM_87!DD112</f>
        <v>33.531549419999997</v>
      </c>
      <c r="BE25" s="5">
        <f>[5]Final_quant._elec_w_ASM_87!DE112</f>
        <v>33.142451764</v>
      </c>
      <c r="BF25" s="5">
        <f>[5]Final_quant._elec_w_ASM_87!DF112</f>
        <v>28.245211575999999</v>
      </c>
      <c r="BQ25">
        <f t="shared" si="2"/>
        <v>1985</v>
      </c>
      <c r="BR25" s="49">
        <v>159.73144210903121</v>
      </c>
      <c r="BS25" s="49">
        <v>86.649169843875683</v>
      </c>
      <c r="BT25" s="49">
        <v>25.536950714425782</v>
      </c>
      <c r="BU25" s="49">
        <v>51.83160985756038</v>
      </c>
      <c r="BV25" s="49">
        <v>172.16705300536009</v>
      </c>
      <c r="BW25" s="49">
        <v>31.070213829376723</v>
      </c>
      <c r="BX25" s="49">
        <v>119.90803231841366</v>
      </c>
      <c r="BY25" s="49">
        <v>436.18818800822464</v>
      </c>
      <c r="BZ25" s="49">
        <v>100.41672362169106</v>
      </c>
      <c r="CA25" s="49">
        <v>104.31492989185355</v>
      </c>
      <c r="CB25" s="49">
        <v>442.28070778392737</v>
      </c>
      <c r="CC25" s="49">
        <v>101.88131778091361</v>
      </c>
      <c r="CD25" s="49">
        <v>65.617783639784349</v>
      </c>
      <c r="CE25" s="49">
        <v>105.43131708009108</v>
      </c>
      <c r="CF25" s="49">
        <v>49.021047347800362</v>
      </c>
      <c r="CG25" s="49">
        <v>133.44202150333211</v>
      </c>
      <c r="CH25" s="49">
        <v>16.585356641514487</v>
      </c>
      <c r="CI25" s="49">
        <v>19.664239415299171</v>
      </c>
    </row>
    <row r="26" spans="6:87" x14ac:dyDescent="0.2">
      <c r="F26" t="s">
        <v>121</v>
      </c>
      <c r="G26" s="15">
        <f>SUM(G8:G25)</f>
        <v>1707.0374668000004</v>
      </c>
      <c r="H26" s="15">
        <f t="shared" ref="H26:M26" si="3">SUM(H8:H25)</f>
        <v>1753.5793735999998</v>
      </c>
      <c r="I26" s="15">
        <f t="shared" si="3"/>
        <v>1899.0044</v>
      </c>
      <c r="J26" s="15">
        <f t="shared" si="3"/>
        <v>2065.7922800000001</v>
      </c>
      <c r="K26" s="15">
        <f t="shared" si="3"/>
        <v>2101.2267599999996</v>
      </c>
      <c r="L26" s="15">
        <f t="shared" si="3"/>
        <v>2007.6726799999994</v>
      </c>
      <c r="M26" s="15">
        <f t="shared" si="3"/>
        <v>2155.3681999999994</v>
      </c>
      <c r="N26" s="15">
        <f>SUM(N8:N25)</f>
        <v>2252.6065628000006</v>
      </c>
      <c r="O26" s="15">
        <f t="shared" ref="O26:X26" si="4">SUM(O8:O25)</f>
        <v>2294.5930247964934</v>
      </c>
      <c r="P26" s="15">
        <f t="shared" si="4"/>
        <v>2318.3012698232769</v>
      </c>
      <c r="Q26" s="15">
        <f t="shared" si="4"/>
        <v>2235.0676527999999</v>
      </c>
      <c r="R26" s="15">
        <f t="shared" si="4"/>
        <v>2261.0636120000004</v>
      </c>
      <c r="S26" s="15">
        <f t="shared" si="4"/>
        <v>2087.9715051999997</v>
      </c>
      <c r="T26" s="15">
        <f t="shared" si="4"/>
        <v>2114.0478259999995</v>
      </c>
      <c r="U26" s="15">
        <f t="shared" si="4"/>
        <v>2301.5296831999995</v>
      </c>
      <c r="V26" s="15">
        <f t="shared" si="4"/>
        <v>2228.3920992000003</v>
      </c>
      <c r="W26" s="15">
        <f t="shared" si="4"/>
        <v>2233.7514404000003</v>
      </c>
      <c r="X26" s="15">
        <f t="shared" si="4"/>
        <v>2362.2841851999997</v>
      </c>
      <c r="Y26" s="7"/>
      <c r="Z26" s="38"/>
      <c r="AA26" s="7"/>
      <c r="AB26">
        <f t="shared" ref="AB26:AV26" si="5">SUM(AB8:AB25)</f>
        <v>2353.9105764650603</v>
      </c>
      <c r="AC26">
        <f t="shared" si="5"/>
        <v>2472.2314495466258</v>
      </c>
      <c r="AD26">
        <f t="shared" si="5"/>
        <v>2500.5093569511973</v>
      </c>
      <c r="AE26">
        <f t="shared" si="5"/>
        <v>2563.8700501599615</v>
      </c>
      <c r="AF26">
        <f t="shared" si="5"/>
        <v>2551.6910722574471</v>
      </c>
      <c r="AG26">
        <f t="shared" si="5"/>
        <v>2559.013606860392</v>
      </c>
      <c r="AH26">
        <f t="shared" si="5"/>
        <v>2629.7574406944391</v>
      </c>
      <c r="AI26">
        <f t="shared" si="5"/>
        <v>2702.6762418589738</v>
      </c>
      <c r="AJ26">
        <f t="shared" si="5"/>
        <v>2741.972261060972</v>
      </c>
      <c r="AK26">
        <f t="shared" si="5"/>
        <v>2802.4941286251237</v>
      </c>
      <c r="AL26">
        <f t="shared" si="5"/>
        <v>2804.7588075380004</v>
      </c>
      <c r="AM26">
        <f t="shared" si="5"/>
        <v>2796.9023619279997</v>
      </c>
      <c r="AN26">
        <f t="shared" si="5"/>
        <v>2843.4744422799995</v>
      </c>
      <c r="AO26">
        <f t="shared" si="5"/>
        <v>2946.859277424001</v>
      </c>
      <c r="AP26">
        <f t="shared" si="5"/>
        <v>2865.9894728160007</v>
      </c>
      <c r="AQ26">
        <f t="shared" si="5"/>
        <v>2774.4059063200002</v>
      </c>
      <c r="AR26">
        <f t="shared" si="5"/>
        <v>2801.3528553079996</v>
      </c>
      <c r="AS26">
        <f t="shared" si="5"/>
        <v>2989.3259404280006</v>
      </c>
      <c r="AT26">
        <f t="shared" si="5"/>
        <v>3075.6215074359998</v>
      </c>
      <c r="AU26">
        <f t="shared" si="5"/>
        <v>3040.230984408</v>
      </c>
      <c r="AV26">
        <f t="shared" si="5"/>
        <v>3029.8569553599996</v>
      </c>
      <c r="AW26">
        <f>SUM(AW8:AW25)</f>
        <v>2995.0864712080001</v>
      </c>
      <c r="AX26">
        <f>SUM(AX8:AX25)</f>
        <v>2523.8655782799997</v>
      </c>
      <c r="AY26">
        <f>SUM(AY8:AY25)</f>
        <v>2672.6991030120007</v>
      </c>
      <c r="AZ26">
        <f t="shared" ref="AZ26:BC26" si="6">SUM(AZ8:AZ25)</f>
        <v>2834.8300038000002</v>
      </c>
      <c r="BA26">
        <f t="shared" si="6"/>
        <v>2804.3236052320003</v>
      </c>
      <c r="BB26">
        <f t="shared" si="6"/>
        <v>2730.0511175800002</v>
      </c>
      <c r="BC26">
        <f t="shared" si="6"/>
        <v>2750.9024569160001</v>
      </c>
      <c r="BD26">
        <f t="shared" ref="BD26:BF26" si="7">SUM(BD8:BD25)</f>
        <v>2752.1527843159997</v>
      </c>
      <c r="BE26">
        <f t="shared" si="7"/>
        <v>2660.8315972079999</v>
      </c>
      <c r="BF26">
        <f t="shared" si="7"/>
        <v>2600.7264091319998</v>
      </c>
      <c r="BQ26">
        <f t="shared" si="2"/>
        <v>1986</v>
      </c>
      <c r="BR26" s="49">
        <v>162.46612284971044</v>
      </c>
      <c r="BS26" s="49">
        <v>89.574636048847466</v>
      </c>
      <c r="BT26" s="49">
        <v>25.758850676756683</v>
      </c>
      <c r="BU26" s="49">
        <v>54.94088345001164</v>
      </c>
      <c r="BV26" s="49">
        <v>191.34435899034963</v>
      </c>
      <c r="BW26" s="49">
        <v>33.35837801904546</v>
      </c>
      <c r="BX26" s="49">
        <v>126.48259921823126</v>
      </c>
      <c r="BY26" s="49">
        <v>414.78711209278379</v>
      </c>
      <c r="BZ26" s="49">
        <v>104.1491801306292</v>
      </c>
      <c r="CA26" s="49">
        <v>108.11468858436993</v>
      </c>
      <c r="CB26" s="49">
        <v>416.67634970436404</v>
      </c>
      <c r="CC26" s="49">
        <v>98.889662395434385</v>
      </c>
      <c r="CD26" s="49">
        <v>64.832173576690579</v>
      </c>
      <c r="CE26" s="49">
        <v>110.14540497741316</v>
      </c>
      <c r="CF26" s="49">
        <v>49.843814070592941</v>
      </c>
      <c r="CG26" s="49">
        <v>137.93991163514653</v>
      </c>
      <c r="CH26" s="49">
        <v>17.322169875097099</v>
      </c>
      <c r="CI26" s="49">
        <v>20.339372988667815</v>
      </c>
    </row>
    <row r="27" spans="6:87" x14ac:dyDescent="0.2">
      <c r="F27" t="s">
        <v>122</v>
      </c>
      <c r="G27" s="15">
        <f>G26/3.412*1000</f>
        <v>500304.06412661209</v>
      </c>
      <c r="H27" s="15">
        <f t="shared" ref="H27:M27" si="8">H26/3.412*1000</f>
        <v>513944.71676436102</v>
      </c>
      <c r="I27" s="15">
        <f t="shared" si="8"/>
        <v>556566.3540445487</v>
      </c>
      <c r="J27" s="15">
        <f t="shared" si="8"/>
        <v>605449.08558030485</v>
      </c>
      <c r="K27" s="15">
        <f t="shared" si="8"/>
        <v>615834.33763188741</v>
      </c>
      <c r="L27" s="15">
        <f t="shared" si="8"/>
        <v>588415.20515826484</v>
      </c>
      <c r="M27" s="15">
        <f t="shared" si="8"/>
        <v>631702.28604923782</v>
      </c>
      <c r="N27" s="15">
        <f>N26/3.412*1000</f>
        <v>660201.22004689346</v>
      </c>
      <c r="O27" s="15">
        <f t="shared" ref="O27:X27" si="9">O26/3.412*1000</f>
        <v>672506.74818185624</v>
      </c>
      <c r="P27" s="15">
        <f t="shared" si="9"/>
        <v>679455.23734562634</v>
      </c>
      <c r="Q27" s="15">
        <f t="shared" si="9"/>
        <v>655060.85955451347</v>
      </c>
      <c r="R27" s="15">
        <f t="shared" si="9"/>
        <v>662679.83939038694</v>
      </c>
      <c r="S27" s="15">
        <f t="shared" si="9"/>
        <v>611949.44466588506</v>
      </c>
      <c r="T27" s="15">
        <f t="shared" si="9"/>
        <v>619591.97713950754</v>
      </c>
      <c r="U27" s="15">
        <f t="shared" si="9"/>
        <v>674539.76647127769</v>
      </c>
      <c r="V27" s="15">
        <f t="shared" si="9"/>
        <v>653104.36670574453</v>
      </c>
      <c r="W27" s="15">
        <f t="shared" si="9"/>
        <v>654675.09976553358</v>
      </c>
      <c r="X27" s="15">
        <f t="shared" si="9"/>
        <v>692345.8924970692</v>
      </c>
      <c r="Y27" s="7"/>
      <c r="Z27" s="38"/>
      <c r="AA27" s="7"/>
      <c r="AB27">
        <f t="shared" ref="AB27:AV27" si="10">AB26/3.412*1000</f>
        <v>689891.72815505881</v>
      </c>
      <c r="AC27">
        <f t="shared" si="10"/>
        <v>724569.59248142608</v>
      </c>
      <c r="AD27">
        <f t="shared" si="10"/>
        <v>732857.3730806557</v>
      </c>
      <c r="AE27">
        <f t="shared" si="10"/>
        <v>751427.33005860529</v>
      </c>
      <c r="AF27">
        <f t="shared" si="10"/>
        <v>747857.87580816157</v>
      </c>
      <c r="AG27">
        <f t="shared" si="10"/>
        <v>750003.98794267059</v>
      </c>
      <c r="AH27">
        <f t="shared" si="10"/>
        <v>770737.81966425537</v>
      </c>
      <c r="AI27">
        <f t="shared" si="10"/>
        <v>792109.09784846834</v>
      </c>
      <c r="AJ27">
        <f t="shared" si="10"/>
        <v>803626.10230391903</v>
      </c>
      <c r="AK27">
        <f t="shared" si="10"/>
        <v>821364.0470765311</v>
      </c>
      <c r="AL27">
        <f t="shared" si="10"/>
        <v>822027.78650000016</v>
      </c>
      <c r="AM27">
        <f t="shared" si="10"/>
        <v>819725.1939999999</v>
      </c>
      <c r="AN27">
        <f t="shared" si="10"/>
        <v>833374.68999999983</v>
      </c>
      <c r="AO27">
        <f t="shared" si="10"/>
        <v>863675.05200000026</v>
      </c>
      <c r="AP27">
        <f t="shared" si="10"/>
        <v>839973.46800000023</v>
      </c>
      <c r="AQ27">
        <f t="shared" si="10"/>
        <v>813131.8600000001</v>
      </c>
      <c r="AR27">
        <f t="shared" si="10"/>
        <v>821029.55899999989</v>
      </c>
      <c r="AS27">
        <f t="shared" si="10"/>
        <v>876121.31900000025</v>
      </c>
      <c r="AT27">
        <f t="shared" si="10"/>
        <v>901413.103</v>
      </c>
      <c r="AU27">
        <f t="shared" si="10"/>
        <v>891040.73400000005</v>
      </c>
      <c r="AV27">
        <f t="shared" si="10"/>
        <v>888000.27999999991</v>
      </c>
      <c r="AW27">
        <f>AW26/3.412*1000</f>
        <v>877809.63400000008</v>
      </c>
      <c r="AX27">
        <f>AX26/3.412*1000</f>
        <v>739702.69</v>
      </c>
      <c r="AY27">
        <f>AY26/3.412*1000</f>
        <v>783323.30100000021</v>
      </c>
      <c r="AZ27">
        <f t="shared" ref="AZ27:BC27" si="11">AZ26/3.412*1000</f>
        <v>830841.15000000014</v>
      </c>
      <c r="BA27">
        <f t="shared" si="11"/>
        <v>821900.23600000003</v>
      </c>
      <c r="BB27">
        <f t="shared" si="11"/>
        <v>800132.21500000008</v>
      </c>
      <c r="BC27">
        <f t="shared" si="11"/>
        <v>806243.39300000004</v>
      </c>
      <c r="BD27">
        <f t="shared" ref="BD27:BF27" si="12">BD26/3.412*1000</f>
        <v>806609.84299999999</v>
      </c>
      <c r="BE27">
        <f t="shared" si="12"/>
        <v>779845.13400000008</v>
      </c>
      <c r="BF27">
        <f t="shared" si="12"/>
        <v>762229.31099999999</v>
      </c>
      <c r="BQ27">
        <f t="shared" si="2"/>
        <v>1987</v>
      </c>
      <c r="BR27" s="49">
        <v>175.9428508</v>
      </c>
      <c r="BS27" s="49">
        <v>100.9068292</v>
      </c>
      <c r="BT27" s="49">
        <v>26.0826928</v>
      </c>
      <c r="BU27" s="49">
        <v>63.95688686954545</v>
      </c>
      <c r="BV27" s="49">
        <v>194.48346030722433</v>
      </c>
      <c r="BW27" s="49">
        <v>38.574928279933708</v>
      </c>
      <c r="BX27" s="49">
        <v>114.14641279999999</v>
      </c>
      <c r="BY27" s="49">
        <v>430.71601679865086</v>
      </c>
      <c r="BZ27" s="49">
        <v>110.34914765901638</v>
      </c>
      <c r="CA27" s="49">
        <v>113.86799359999998</v>
      </c>
      <c r="CB27" s="49">
        <v>434.03147016125655</v>
      </c>
      <c r="CC27" s="49">
        <v>111.79253633733873</v>
      </c>
      <c r="CD27" s="49">
        <v>75.036505038745617</v>
      </c>
      <c r="CE27" s="49">
        <v>117.30317472933524</v>
      </c>
      <c r="CF27" s="49">
        <v>51.594232792454768</v>
      </c>
      <c r="CG27" s="49">
        <v>148.48101866152217</v>
      </c>
      <c r="CH27" s="49">
        <v>21.359852613141975</v>
      </c>
      <c r="CI27" s="49">
        <v>25.284567016894268</v>
      </c>
    </row>
    <row r="28" spans="6:87" x14ac:dyDescent="0.2">
      <c r="W28" s="31"/>
      <c r="X28" s="31"/>
      <c r="Y28" s="7"/>
      <c r="Z28" s="7"/>
      <c r="AA28" s="7"/>
      <c r="BQ28">
        <f t="shared" si="2"/>
        <v>1988</v>
      </c>
      <c r="BR28" s="49">
        <v>180.49855319999998</v>
      </c>
      <c r="BS28" s="49">
        <v>101.7052372</v>
      </c>
      <c r="BT28" s="49">
        <v>26.5088516</v>
      </c>
      <c r="BU28" s="49">
        <v>66.472722126573842</v>
      </c>
      <c r="BV28" s="49">
        <v>197.55336384638781</v>
      </c>
      <c r="BW28" s="49">
        <v>41.228554572525958</v>
      </c>
      <c r="BX28" s="49">
        <v>117.47174800000001</v>
      </c>
      <c r="BY28" s="49">
        <v>436.09388806745358</v>
      </c>
      <c r="BZ28" s="49">
        <v>116.07783040218577</v>
      </c>
      <c r="CA28" s="49">
        <v>116.29324320000001</v>
      </c>
      <c r="CB28" s="49">
        <v>499.72452113089003</v>
      </c>
      <c r="CC28" s="49">
        <v>118.75029238507044</v>
      </c>
      <c r="CD28" s="49">
        <v>77.692193284222668</v>
      </c>
      <c r="CE28" s="49">
        <v>120.097983423326</v>
      </c>
      <c r="CF28" s="49">
        <v>53.163690091160618</v>
      </c>
      <c r="CG28" s="49">
        <v>154.05119390842597</v>
      </c>
      <c r="CH28" s="49">
        <v>22.199010092285135</v>
      </c>
      <c r="CI28" s="49">
        <v>26.64857301611816</v>
      </c>
    </row>
    <row r="29" spans="6:87" x14ac:dyDescent="0.2">
      <c r="G29">
        <v>1970</v>
      </c>
      <c r="H29">
        <v>1971</v>
      </c>
      <c r="I29">
        <v>1972</v>
      </c>
      <c r="J29">
        <v>1973</v>
      </c>
      <c r="K29">
        <v>1974</v>
      </c>
      <c r="L29">
        <v>1975</v>
      </c>
      <c r="M29">
        <v>1976</v>
      </c>
      <c r="N29">
        <v>1977</v>
      </c>
      <c r="O29">
        <v>1978</v>
      </c>
      <c r="P29">
        <v>1979</v>
      </c>
      <c r="Q29">
        <v>1980</v>
      </c>
      <c r="R29">
        <v>1981</v>
      </c>
      <c r="S29">
        <v>1982</v>
      </c>
      <c r="T29">
        <v>1983</v>
      </c>
      <c r="U29">
        <v>1984</v>
      </c>
      <c r="V29">
        <v>1985</v>
      </c>
      <c r="W29">
        <v>1986</v>
      </c>
      <c r="X29">
        <v>1987</v>
      </c>
      <c r="Y29">
        <f>X29+1</f>
        <v>1988</v>
      </c>
      <c r="Z29">
        <f t="shared" ref="Z29:AS29" si="13">Y29+1</f>
        <v>1989</v>
      </c>
      <c r="AA29">
        <f t="shared" si="13"/>
        <v>1990</v>
      </c>
      <c r="AB29">
        <f t="shared" si="13"/>
        <v>1991</v>
      </c>
      <c r="AC29">
        <f t="shared" si="13"/>
        <v>1992</v>
      </c>
      <c r="AD29">
        <f t="shared" si="13"/>
        <v>1993</v>
      </c>
      <c r="AE29">
        <f t="shared" si="13"/>
        <v>1994</v>
      </c>
      <c r="AF29">
        <f t="shared" si="13"/>
        <v>1995</v>
      </c>
      <c r="AG29">
        <f t="shared" si="13"/>
        <v>1996</v>
      </c>
      <c r="AH29">
        <f t="shared" si="13"/>
        <v>1997</v>
      </c>
      <c r="AI29">
        <f t="shared" si="13"/>
        <v>1998</v>
      </c>
      <c r="AJ29">
        <f t="shared" si="13"/>
        <v>1999</v>
      </c>
      <c r="AK29">
        <f t="shared" si="13"/>
        <v>2000</v>
      </c>
      <c r="AL29">
        <f t="shared" si="13"/>
        <v>2001</v>
      </c>
      <c r="AM29">
        <f t="shared" si="13"/>
        <v>2002</v>
      </c>
      <c r="AN29">
        <f t="shared" si="13"/>
        <v>2003</v>
      </c>
      <c r="AO29">
        <f t="shared" si="13"/>
        <v>2004</v>
      </c>
      <c r="AP29">
        <f t="shared" si="13"/>
        <v>2005</v>
      </c>
      <c r="AQ29">
        <f t="shared" si="13"/>
        <v>2006</v>
      </c>
      <c r="AR29">
        <f t="shared" si="13"/>
        <v>2007</v>
      </c>
      <c r="AS29">
        <f t="shared" si="13"/>
        <v>2008</v>
      </c>
      <c r="AT29">
        <f>AS29+1</f>
        <v>2009</v>
      </c>
      <c r="AU29">
        <f>AT29+1</f>
        <v>2010</v>
      </c>
      <c r="AV29">
        <v>2011</v>
      </c>
      <c r="AW29">
        <v>2012</v>
      </c>
      <c r="AX29">
        <v>2013</v>
      </c>
      <c r="AY29">
        <v>2014</v>
      </c>
      <c r="AZ29">
        <v>2015</v>
      </c>
      <c r="BA29">
        <v>2016</v>
      </c>
      <c r="BB29">
        <v>2017</v>
      </c>
      <c r="BQ29">
        <f t="shared" si="2"/>
        <v>1989</v>
      </c>
      <c r="BR29" s="49">
        <v>181.92203960000001</v>
      </c>
      <c r="BS29" s="49">
        <v>103.4306856</v>
      </c>
      <c r="BT29" s="49">
        <v>23.390624799999998</v>
      </c>
      <c r="BU29" s="49">
        <v>65.138042120981652</v>
      </c>
      <c r="BV29" s="49">
        <v>203.60553441825095</v>
      </c>
      <c r="BW29" s="49">
        <v>40.860254194455955</v>
      </c>
      <c r="BX29" s="49">
        <v>116.4321116</v>
      </c>
      <c r="BY29" s="49">
        <v>461.83742461517704</v>
      </c>
      <c r="BZ29" s="49">
        <v>118.75510933989071</v>
      </c>
      <c r="CA29" s="49">
        <v>113.7366316</v>
      </c>
      <c r="CB29" s="49">
        <v>488.47492132774869</v>
      </c>
      <c r="CC29" s="49">
        <v>120.58309233333516</v>
      </c>
      <c r="CD29" s="49">
        <v>82.222593006052819</v>
      </c>
      <c r="CE29" s="49">
        <v>123.33101691991858</v>
      </c>
      <c r="CF29" s="49">
        <v>53.39730074266356</v>
      </c>
      <c r="CG29" s="49">
        <v>152.37196480633253</v>
      </c>
      <c r="CH29" s="49">
        <v>23.355205032498805</v>
      </c>
      <c r="CI29" s="49">
        <v>27.664804893891468</v>
      </c>
    </row>
    <row r="30" spans="6:87" x14ac:dyDescent="0.2">
      <c r="F30" t="s">
        <v>12</v>
      </c>
      <c r="G30" s="5">
        <f t="shared" ref="G30:M30" si="14">$Z8*G8</f>
        <v>118.09880047352895</v>
      </c>
      <c r="H30" s="5">
        <f t="shared" si="14"/>
        <v>118.4640689392175</v>
      </c>
      <c r="I30" s="5">
        <f t="shared" si="14"/>
        <v>120.68370032797704</v>
      </c>
      <c r="J30" s="5">
        <f t="shared" si="14"/>
        <v>125.58930585895047</v>
      </c>
      <c r="K30" s="5">
        <f t="shared" si="14"/>
        <v>129.42112217435181</v>
      </c>
      <c r="L30" s="5">
        <f t="shared" si="14"/>
        <v>134.429803464136</v>
      </c>
      <c r="M30" s="5">
        <f t="shared" si="14"/>
        <v>137.21685189411582</v>
      </c>
      <c r="N30" s="5">
        <f t="shared" ref="N30:X45" si="15">$Z8*N8</f>
        <v>141.0066373175749</v>
      </c>
      <c r="O30" s="5">
        <f t="shared" si="15"/>
        <v>142.68587152421983</v>
      </c>
      <c r="P30" s="5">
        <f t="shared" si="15"/>
        <v>139.50553403392331</v>
      </c>
      <c r="Q30" s="5">
        <f t="shared" si="15"/>
        <v>145.15568679358793</v>
      </c>
      <c r="R30" s="5">
        <f t="shared" si="15"/>
        <v>146.31153632199968</v>
      </c>
      <c r="S30" s="5">
        <f t="shared" si="15"/>
        <v>161.86997148928734</v>
      </c>
      <c r="T30" s="5">
        <f t="shared" si="15"/>
        <v>155.10299788658594</v>
      </c>
      <c r="U30" s="5">
        <f t="shared" si="15"/>
        <v>159.71338643844123</v>
      </c>
      <c r="V30" s="5">
        <f t="shared" si="15"/>
        <v>159.73144210903121</v>
      </c>
      <c r="W30" s="5">
        <f t="shared" si="15"/>
        <v>162.46612284971044</v>
      </c>
      <c r="X30" s="5">
        <f t="shared" si="15"/>
        <v>175.9428508</v>
      </c>
      <c r="Y30" s="39">
        <f t="shared" ref="Y30:Y47" si="16">AC8</f>
        <v>180.49855319999998</v>
      </c>
      <c r="Z30" s="39">
        <f t="shared" ref="Z30:AO45" si="17">AD8</f>
        <v>181.92203960000001</v>
      </c>
      <c r="AA30" s="39">
        <f t="shared" si="17"/>
        <v>183.31550040000002</v>
      </c>
      <c r="AB30" s="39">
        <f t="shared" si="17"/>
        <v>188.50788200000002</v>
      </c>
      <c r="AC30" s="39">
        <f t="shared" si="17"/>
        <v>195.81126800000001</v>
      </c>
      <c r="AD30" s="39">
        <f t="shared" si="17"/>
        <v>202.10436079999999</v>
      </c>
      <c r="AE30" s="39">
        <f t="shared" si="17"/>
        <v>206.38096160000001</v>
      </c>
      <c r="AF30" s="39">
        <f t="shared" si="17"/>
        <v>215.29992960000001</v>
      </c>
      <c r="AG30" s="39">
        <f t="shared" si="17"/>
        <v>223.774314</v>
      </c>
      <c r="AH30" s="39">
        <f t="shared" si="17"/>
        <v>232.942692376</v>
      </c>
      <c r="AI30" s="39">
        <f t="shared" si="17"/>
        <v>237.41109875599997</v>
      </c>
      <c r="AJ30" s="39">
        <f t="shared" si="17"/>
        <v>233.76357863199999</v>
      </c>
      <c r="AK30" s="39">
        <f t="shared" si="17"/>
        <v>248.33018456799999</v>
      </c>
      <c r="AL30" s="39">
        <f t="shared" si="17"/>
        <v>266.44860061600002</v>
      </c>
      <c r="AM30" s="39">
        <f t="shared" si="17"/>
        <v>257.77662047199999</v>
      </c>
      <c r="AN30" s="39">
        <f t="shared" si="17"/>
        <v>255.32842858399999</v>
      </c>
      <c r="AO30" s="39">
        <f t="shared" si="17"/>
        <v>287.10198594799999</v>
      </c>
      <c r="AP30" s="39">
        <f t="shared" ref="AP30:AR45" si="18">AT8</f>
        <v>300.75193419999994</v>
      </c>
      <c r="AQ30" s="39">
        <f t="shared" si="18"/>
        <v>301.63248268799998</v>
      </c>
      <c r="AR30" s="39">
        <f t="shared" si="18"/>
        <v>307.48225773999997</v>
      </c>
      <c r="AS30" s="39">
        <f t="shared" ref="AS30:AS47" si="19">AW8</f>
        <v>334.69119032399999</v>
      </c>
      <c r="AT30" s="39">
        <f t="shared" ref="AT30:AT47" si="20">AX8</f>
        <v>313.91500369999994</v>
      </c>
      <c r="AU30" s="39">
        <f t="shared" ref="AU30:AU47" si="21">AY8</f>
        <v>321.26902378</v>
      </c>
      <c r="AV30" s="39">
        <f>AZ8</f>
        <v>340.83685742799997</v>
      </c>
      <c r="AW30" s="39">
        <f>BA8</f>
        <v>299.93102747199998</v>
      </c>
      <c r="AX30" s="39">
        <f>BB8</f>
        <v>290.75231755999999</v>
      </c>
      <c r="AY30" s="39">
        <f>BC8</f>
        <v>293.20092571200001</v>
      </c>
      <c r="AZ30" s="39">
        <f>BD8</f>
        <v>280.58946742799998</v>
      </c>
      <c r="BA30" s="39">
        <f t="shared" ref="BA30:BB45" si="22">BE8</f>
        <v>285.16332166799998</v>
      </c>
      <c r="BB30" s="39">
        <f t="shared" si="22"/>
        <v>281.55283880399998</v>
      </c>
      <c r="BQ30">
        <f t="shared" si="2"/>
        <v>1990</v>
      </c>
      <c r="BR30" s="49">
        <v>183.31550040000002</v>
      </c>
      <c r="BS30" s="49">
        <v>99.811577199999988</v>
      </c>
      <c r="BT30" s="49">
        <v>23.108793599999998</v>
      </c>
      <c r="BU30" s="49">
        <v>65.158067088915033</v>
      </c>
      <c r="BV30" s="49">
        <v>215.91304783726235</v>
      </c>
      <c r="BW30" s="49">
        <v>42.559536231756297</v>
      </c>
      <c r="BX30" s="49">
        <v>120.3296392</v>
      </c>
      <c r="BY30" s="49">
        <v>490.50716601146706</v>
      </c>
      <c r="BZ30" s="49">
        <v>122.40925133551912</v>
      </c>
      <c r="CA30" s="49">
        <v>115.537144</v>
      </c>
      <c r="CB30" s="49">
        <v>494.40657078534031</v>
      </c>
      <c r="CC30" s="49">
        <v>120.9145451690495</v>
      </c>
      <c r="CD30" s="49">
        <v>83.868091472972651</v>
      </c>
      <c r="CE30" s="49">
        <v>126.73288702710265</v>
      </c>
      <c r="CF30" s="49">
        <v>53.927901631120662</v>
      </c>
      <c r="CG30" s="49">
        <v>153.23725770984589</v>
      </c>
      <c r="CH30" s="49">
        <v>22.280034512346635</v>
      </c>
      <c r="CI30" s="49">
        <v>29.85303894726405</v>
      </c>
    </row>
    <row r="31" spans="6:87" x14ac:dyDescent="0.2">
      <c r="F31" t="s">
        <v>13</v>
      </c>
      <c r="G31" s="5">
        <f t="shared" ref="G31:M31" si="23">$Z9*G9</f>
        <v>79.697962537808721</v>
      </c>
      <c r="H31" s="5">
        <f t="shared" si="23"/>
        <v>83.556616099575507</v>
      </c>
      <c r="I31" s="5">
        <f t="shared" si="23"/>
        <v>91.301316357329696</v>
      </c>
      <c r="J31" s="5">
        <f t="shared" si="23"/>
        <v>95.374392038685471</v>
      </c>
      <c r="K31" s="5">
        <f t="shared" si="23"/>
        <v>88.419369719153337</v>
      </c>
      <c r="L31" s="5">
        <f t="shared" si="23"/>
        <v>87.80444108544215</v>
      </c>
      <c r="M31" s="5">
        <f t="shared" si="23"/>
        <v>92.347923002724443</v>
      </c>
      <c r="N31" s="5">
        <f t="shared" si="15"/>
        <v>91.204968092139922</v>
      </c>
      <c r="O31" s="5">
        <f t="shared" si="15"/>
        <v>90.851691119777428</v>
      </c>
      <c r="P31" s="5">
        <f t="shared" si="15"/>
        <v>89.403633369425307</v>
      </c>
      <c r="Q31" s="5">
        <f t="shared" si="15"/>
        <v>86.588752680547699</v>
      </c>
      <c r="R31" s="5">
        <f t="shared" si="15"/>
        <v>86.162742213875276</v>
      </c>
      <c r="S31" s="5">
        <f t="shared" si="15"/>
        <v>81.205529510778092</v>
      </c>
      <c r="T31" s="5">
        <f t="shared" si="15"/>
        <v>88.205892190399538</v>
      </c>
      <c r="U31" s="5">
        <f t="shared" si="15"/>
        <v>90.093184679116774</v>
      </c>
      <c r="V31" s="5">
        <f t="shared" si="15"/>
        <v>86.649169843875683</v>
      </c>
      <c r="W31" s="5">
        <f t="shared" si="15"/>
        <v>89.574636048847466</v>
      </c>
      <c r="X31" s="5">
        <f t="shared" si="15"/>
        <v>100.9068292</v>
      </c>
      <c r="Y31" s="39">
        <f t="shared" si="16"/>
        <v>101.7052372</v>
      </c>
      <c r="Z31" s="39">
        <f t="shared" si="17"/>
        <v>103.4306856</v>
      </c>
      <c r="AA31" s="39">
        <f t="shared" si="17"/>
        <v>99.811577199999988</v>
      </c>
      <c r="AB31" s="39">
        <f t="shared" si="17"/>
        <v>101.02556680000001</v>
      </c>
      <c r="AC31" s="39">
        <f t="shared" si="17"/>
        <v>106.6154464</v>
      </c>
      <c r="AD31" s="39">
        <f t="shared" si="17"/>
        <v>111.71092719999999</v>
      </c>
      <c r="AE31" s="39">
        <f t="shared" si="17"/>
        <v>117.0374004</v>
      </c>
      <c r="AF31" s="39">
        <f t="shared" si="17"/>
        <v>118.22307040000001</v>
      </c>
      <c r="AG31" s="39">
        <f t="shared" si="17"/>
        <v>115.34846039999999</v>
      </c>
      <c r="AH31" s="39">
        <f t="shared" si="17"/>
        <v>113.555870664</v>
      </c>
      <c r="AI31" s="39">
        <f t="shared" si="17"/>
        <v>115.50939079199999</v>
      </c>
      <c r="AJ31" s="39">
        <f t="shared" si="17"/>
        <v>114.812943588</v>
      </c>
      <c r="AK31" s="39">
        <f t="shared" si="17"/>
        <v>107.995607224</v>
      </c>
      <c r="AL31" s="39">
        <f t="shared" si="17"/>
        <v>102.389694636</v>
      </c>
      <c r="AM31" s="39">
        <f t="shared" si="17"/>
        <v>97.014695971999998</v>
      </c>
      <c r="AN31" s="39">
        <f t="shared" si="17"/>
        <v>95.164583328000006</v>
      </c>
      <c r="AO31" s="39">
        <f t="shared" si="17"/>
        <v>94.700360255999996</v>
      </c>
      <c r="AP31" s="39">
        <f t="shared" si="18"/>
        <v>92.424099048000002</v>
      </c>
      <c r="AQ31" s="39">
        <f t="shared" si="18"/>
        <v>79.236968124000001</v>
      </c>
      <c r="AR31" s="39">
        <f t="shared" si="18"/>
        <v>68.415711176000002</v>
      </c>
      <c r="AS31" s="39">
        <f t="shared" si="19"/>
        <v>63.298574411999994</v>
      </c>
      <c r="AT31" s="39">
        <f t="shared" si="20"/>
        <v>50.465271299999998</v>
      </c>
      <c r="AU31" s="39">
        <f t="shared" si="21"/>
        <v>52.214992668000008</v>
      </c>
      <c r="AV31" s="39">
        <f t="shared" ref="AV31:AV47" si="24">AZ9</f>
        <v>54.125074623999993</v>
      </c>
      <c r="AW31" s="39">
        <f t="shared" ref="AW31:AW47" si="25">BA9</f>
        <v>49.364757995999994</v>
      </c>
      <c r="AX31" s="39">
        <f t="shared" ref="AX31:AX47" si="26">BB9</f>
        <v>50.116087219999997</v>
      </c>
      <c r="AY31" s="39">
        <f t="shared" ref="AY31:AY47" si="27">BC9</f>
        <v>50.308401187999998</v>
      </c>
      <c r="AZ31" s="39">
        <f t="shared" ref="AZ31:AZ47" si="28">BD9</f>
        <v>47.022597420000004</v>
      </c>
      <c r="BA31" s="39">
        <f t="shared" si="22"/>
        <v>44.523338128000006</v>
      </c>
      <c r="BB31" s="39">
        <f t="shared" si="22"/>
        <v>41.625352516</v>
      </c>
      <c r="BQ31">
        <f t="shared" si="2"/>
        <v>1991</v>
      </c>
      <c r="BR31" s="49">
        <v>188.50788200000002</v>
      </c>
      <c r="BS31" s="49">
        <v>101.02556680000001</v>
      </c>
      <c r="BT31" s="49">
        <v>22.4250288</v>
      </c>
      <c r="BU31" s="49">
        <v>63.49885546014837</v>
      </c>
      <c r="BV31" s="49">
        <v>219.58196495057035</v>
      </c>
      <c r="BW31" s="49">
        <v>41.919301686389602</v>
      </c>
      <c r="BX31" s="49">
        <v>119.63222639999999</v>
      </c>
      <c r="BY31" s="49">
        <v>496.71773098954463</v>
      </c>
      <c r="BZ31" s="49">
        <v>120.58301469289617</v>
      </c>
      <c r="CA31" s="49">
        <v>112.2251156</v>
      </c>
      <c r="CB31" s="49">
        <v>490.50840187225128</v>
      </c>
      <c r="CC31" s="49">
        <v>118.55444953613846</v>
      </c>
      <c r="CD31" s="49">
        <v>82.396721447131014</v>
      </c>
      <c r="CE31" s="49">
        <v>125.49737823004109</v>
      </c>
      <c r="CF31" s="49">
        <v>51.473161533067156</v>
      </c>
      <c r="CG31" s="49">
        <v>146.74468901249639</v>
      </c>
      <c r="CH31" s="49">
        <v>21.53568569070282</v>
      </c>
      <c r="CI31" s="49">
        <v>28.863897556069173</v>
      </c>
    </row>
    <row r="32" spans="6:87" x14ac:dyDescent="0.2">
      <c r="F32" t="s">
        <v>14</v>
      </c>
      <c r="G32" s="5">
        <f t="shared" ref="G32:M32" si="29">$Z10*G10</f>
        <v>27.902014926127464</v>
      </c>
      <c r="H32" s="5">
        <f t="shared" si="29"/>
        <v>27.449988375814961</v>
      </c>
      <c r="I32" s="5">
        <f t="shared" si="29"/>
        <v>32.010176451759641</v>
      </c>
      <c r="J32" s="5">
        <f t="shared" si="29"/>
        <v>33.033997270843514</v>
      </c>
      <c r="K32" s="5">
        <f t="shared" si="29"/>
        <v>32.252287538536706</v>
      </c>
      <c r="L32" s="5">
        <f t="shared" si="29"/>
        <v>33.766769655823047</v>
      </c>
      <c r="M32" s="5">
        <f t="shared" si="29"/>
        <v>33.567156791724926</v>
      </c>
      <c r="N32" s="5">
        <f t="shared" si="15"/>
        <v>32.290922286426664</v>
      </c>
      <c r="O32" s="5">
        <f t="shared" si="15"/>
        <v>30.093892956417729</v>
      </c>
      <c r="P32" s="5">
        <f t="shared" si="15"/>
        <v>26.339883286443506</v>
      </c>
      <c r="Q32" s="5">
        <f t="shared" si="15"/>
        <v>27.573619569062824</v>
      </c>
      <c r="R32" s="5">
        <f t="shared" si="15"/>
        <v>27.34181108172308</v>
      </c>
      <c r="S32" s="5">
        <f t="shared" si="15"/>
        <v>27.330220657356094</v>
      </c>
      <c r="T32" s="5">
        <f t="shared" si="15"/>
        <v>27.291585909466132</v>
      </c>
      <c r="U32" s="5">
        <f t="shared" si="15"/>
        <v>30.22396327431392</v>
      </c>
      <c r="V32" s="5">
        <f t="shared" si="15"/>
        <v>25.536950714425782</v>
      </c>
      <c r="W32" s="5">
        <f t="shared" si="15"/>
        <v>25.758850676756683</v>
      </c>
      <c r="X32" s="5">
        <f t="shared" si="15"/>
        <v>26.0826928</v>
      </c>
      <c r="Y32" s="39">
        <f t="shared" si="16"/>
        <v>26.5088516</v>
      </c>
      <c r="Z32" s="39">
        <f t="shared" si="17"/>
        <v>23.390624799999998</v>
      </c>
      <c r="AA32" s="39">
        <f t="shared" si="17"/>
        <v>23.108793599999998</v>
      </c>
      <c r="AB32" s="39">
        <f t="shared" si="17"/>
        <v>22.4250288</v>
      </c>
      <c r="AC32" s="39">
        <f t="shared" si="17"/>
        <v>31.5483756</v>
      </c>
      <c r="AD32" s="39">
        <f t="shared" si="17"/>
        <v>35.309764399999999</v>
      </c>
      <c r="AE32" s="39">
        <f t="shared" si="17"/>
        <v>33.010758799999998</v>
      </c>
      <c r="AF32" s="39">
        <f t="shared" si="17"/>
        <v>34.404902</v>
      </c>
      <c r="AG32" s="39">
        <f t="shared" si="17"/>
        <v>32.783178399999997</v>
      </c>
      <c r="AH32" s="39">
        <f t="shared" si="17"/>
        <v>27.277875456</v>
      </c>
      <c r="AI32" s="39">
        <f t="shared" si="17"/>
        <v>25.900034791999996</v>
      </c>
      <c r="AJ32" s="39">
        <f t="shared" si="17"/>
        <v>24.839243991999997</v>
      </c>
      <c r="AK32" s="39">
        <f t="shared" si="17"/>
        <v>26.023051040000002</v>
      </c>
      <c r="AL32" s="39">
        <f t="shared" si="17"/>
        <v>24.252731428000001</v>
      </c>
      <c r="AM32" s="39">
        <f t="shared" si="17"/>
        <v>13.151792839999999</v>
      </c>
      <c r="AN32" s="39">
        <f t="shared" si="17"/>
        <v>12.522558623999998</v>
      </c>
      <c r="AO32" s="39">
        <f t="shared" si="17"/>
        <v>15.189756556000001</v>
      </c>
      <c r="AP32" s="39">
        <f t="shared" si="18"/>
        <v>14.870621959999999</v>
      </c>
      <c r="AQ32" s="39">
        <f t="shared" si="18"/>
        <v>13.064957439999999</v>
      </c>
      <c r="AR32" s="39">
        <f t="shared" si="18"/>
        <v>8.8014314240000004</v>
      </c>
      <c r="AS32" s="39">
        <f t="shared" si="19"/>
        <v>6.6801330200000004</v>
      </c>
      <c r="AT32" s="39">
        <f t="shared" si="20"/>
        <v>4.7902023360000001</v>
      </c>
      <c r="AU32" s="39">
        <f t="shared" si="21"/>
        <v>4.7583308439999996</v>
      </c>
      <c r="AV32" s="39">
        <f t="shared" si="24"/>
        <v>4.6839253599999999</v>
      </c>
      <c r="AW32" s="39">
        <f t="shared" si="25"/>
        <v>3.672690448</v>
      </c>
      <c r="AX32" s="39">
        <f t="shared" si="26"/>
        <v>3.8386603639999999</v>
      </c>
      <c r="AY32" s="39">
        <f t="shared" si="27"/>
        <v>3.9326268440000001</v>
      </c>
      <c r="AZ32" s="39">
        <f t="shared" si="28"/>
        <v>3.7451988599999999</v>
      </c>
      <c r="BA32" s="39">
        <f t="shared" si="22"/>
        <v>3.5861518919999993</v>
      </c>
      <c r="BB32" s="39">
        <f t="shared" si="22"/>
        <v>3.2827670879999999</v>
      </c>
      <c r="BQ32">
        <f t="shared" si="2"/>
        <v>1992</v>
      </c>
      <c r="BR32" s="49">
        <v>195.81126800000001</v>
      </c>
      <c r="BS32" s="49">
        <v>106.6154464</v>
      </c>
      <c r="BT32" s="49">
        <v>31.5483756</v>
      </c>
      <c r="BU32" s="49">
        <v>60.602545812385564</v>
      </c>
      <c r="BV32" s="49">
        <v>222.69125568365018</v>
      </c>
      <c r="BW32" s="49">
        <v>42.442327456311915</v>
      </c>
      <c r="BX32" s="49">
        <v>120.65616759999999</v>
      </c>
      <c r="BY32" s="49">
        <v>495.33325646542994</v>
      </c>
      <c r="BZ32" s="49">
        <v>126.47322860109288</v>
      </c>
      <c r="CA32" s="49">
        <v>115.1096204</v>
      </c>
      <c r="CB32" s="49">
        <v>478.26664963350788</v>
      </c>
      <c r="CC32" s="49">
        <v>114.50817795082392</v>
      </c>
      <c r="CD32" s="49">
        <v>76.935392520099057</v>
      </c>
      <c r="CE32" s="49">
        <v>121.64152523659999</v>
      </c>
      <c r="CF32" s="49">
        <v>49.12202268046277</v>
      </c>
      <c r="CG32" s="49">
        <v>151.69351570431976</v>
      </c>
      <c r="CH32" s="49">
        <v>22.237673197293738</v>
      </c>
      <c r="CI32" s="49">
        <v>27.325157918414416</v>
      </c>
    </row>
    <row r="33" spans="6:87" x14ac:dyDescent="0.2">
      <c r="F33" t="s">
        <v>105</v>
      </c>
      <c r="G33" s="5">
        <f t="shared" ref="G33:M33" si="30">$Z11*G11</f>
        <v>32.243314931920139</v>
      </c>
      <c r="H33" s="5">
        <f t="shared" si="30"/>
        <v>35.744440833237107</v>
      </c>
      <c r="I33" s="5">
        <f t="shared" si="30"/>
        <v>41.798161037477847</v>
      </c>
      <c r="J33" s="5">
        <f t="shared" si="30"/>
        <v>42.081633873669915</v>
      </c>
      <c r="K33" s="5">
        <f t="shared" si="30"/>
        <v>46.034180642910087</v>
      </c>
      <c r="L33" s="5">
        <f t="shared" si="30"/>
        <v>44.993338061353946</v>
      </c>
      <c r="M33" s="5">
        <f t="shared" si="30"/>
        <v>48.30347789533819</v>
      </c>
      <c r="N33" s="5">
        <f t="shared" si="15"/>
        <v>50.027246183554809</v>
      </c>
      <c r="O33" s="5">
        <f t="shared" si="15"/>
        <v>51.68353245810458</v>
      </c>
      <c r="P33" s="5">
        <f t="shared" si="15"/>
        <v>49.79499638262832</v>
      </c>
      <c r="Q33" s="5">
        <f t="shared" si="15"/>
        <v>45.376420085598738</v>
      </c>
      <c r="R33" s="5">
        <f t="shared" si="15"/>
        <v>45.110667718491783</v>
      </c>
      <c r="S33" s="5">
        <f t="shared" si="15"/>
        <v>45.377001021697438</v>
      </c>
      <c r="T33" s="5">
        <f t="shared" si="15"/>
        <v>47.857613441141645</v>
      </c>
      <c r="U33" s="5">
        <f t="shared" si="15"/>
        <v>51.647936420314139</v>
      </c>
      <c r="V33" s="5">
        <f t="shared" si="15"/>
        <v>51.83160985756038</v>
      </c>
      <c r="W33" s="5">
        <f t="shared" si="15"/>
        <v>54.94088345001164</v>
      </c>
      <c r="X33" s="5">
        <f t="shared" si="15"/>
        <v>63.95688686954545</v>
      </c>
      <c r="Y33" s="39">
        <f t="shared" si="16"/>
        <v>66.472722126573842</v>
      </c>
      <c r="Z33" s="39">
        <f t="shared" si="17"/>
        <v>65.138042120981652</v>
      </c>
      <c r="AA33" s="39">
        <f t="shared" si="17"/>
        <v>65.158067088915033</v>
      </c>
      <c r="AB33" s="39">
        <f t="shared" si="17"/>
        <v>63.49885546014837</v>
      </c>
      <c r="AC33" s="39">
        <f t="shared" si="17"/>
        <v>60.602545812385564</v>
      </c>
      <c r="AD33" s="39">
        <f t="shared" si="17"/>
        <v>66.275015300310841</v>
      </c>
      <c r="AE33" s="39">
        <f t="shared" si="17"/>
        <v>68.881439697990274</v>
      </c>
      <c r="AF33" s="39">
        <f t="shared" si="17"/>
        <v>70.680508245656824</v>
      </c>
      <c r="AG33" s="39">
        <f t="shared" si="17"/>
        <v>71.392824962144573</v>
      </c>
      <c r="AH33" s="39">
        <f t="shared" si="17"/>
        <v>74.590970555999988</v>
      </c>
      <c r="AI33" s="39">
        <f t="shared" si="17"/>
        <v>76.021762047999999</v>
      </c>
      <c r="AJ33" s="39">
        <f t="shared" si="17"/>
        <v>79.383206443999995</v>
      </c>
      <c r="AK33" s="39">
        <f t="shared" si="17"/>
        <v>79.318323851999992</v>
      </c>
      <c r="AL33" s="39">
        <f t="shared" si="17"/>
        <v>74.650090280000001</v>
      </c>
      <c r="AM33" s="39">
        <f t="shared" si="17"/>
        <v>74.759141212000003</v>
      </c>
      <c r="AN33" s="39">
        <f t="shared" si="17"/>
        <v>78.270293932000001</v>
      </c>
      <c r="AO33" s="39">
        <f t="shared" si="17"/>
        <v>90.253432415999995</v>
      </c>
      <c r="AP33" s="39">
        <f t="shared" si="18"/>
        <v>95.464392355999991</v>
      </c>
      <c r="AQ33" s="39">
        <f t="shared" si="18"/>
        <v>96.462862975999997</v>
      </c>
      <c r="AR33" s="39">
        <f t="shared" si="18"/>
        <v>85.215181091999995</v>
      </c>
      <c r="AS33" s="39">
        <f t="shared" si="19"/>
        <v>78.449870903999994</v>
      </c>
      <c r="AT33" s="39">
        <f t="shared" si="20"/>
        <v>63.432399876000005</v>
      </c>
      <c r="AU33" s="39">
        <f t="shared" si="21"/>
        <v>67.583578967999998</v>
      </c>
      <c r="AV33" s="39">
        <f t="shared" si="24"/>
        <v>68.977261547999987</v>
      </c>
      <c r="AW33" s="39">
        <f t="shared" si="25"/>
        <v>66.419227144000004</v>
      </c>
      <c r="AX33" s="39">
        <f t="shared" si="26"/>
        <v>71.100699275999986</v>
      </c>
      <c r="AY33" s="39">
        <f t="shared" si="27"/>
        <v>72.53285898</v>
      </c>
      <c r="AZ33" s="39">
        <f t="shared" si="28"/>
        <v>75.369298936000007</v>
      </c>
      <c r="BA33" s="39">
        <f t="shared" si="22"/>
        <v>74.28565797200001</v>
      </c>
      <c r="BB33" s="39">
        <f t="shared" si="22"/>
        <v>69.652974028000003</v>
      </c>
      <c r="BQ33">
        <f t="shared" si="2"/>
        <v>1993</v>
      </c>
      <c r="BR33" s="49">
        <v>202.10436079999999</v>
      </c>
      <c r="BS33" s="49">
        <v>111.71092719999999</v>
      </c>
      <c r="BT33" s="49">
        <v>35.309764399999999</v>
      </c>
      <c r="BU33" s="49">
        <v>66.275015300310841</v>
      </c>
      <c r="BV33" s="49">
        <v>231.05282872547528</v>
      </c>
      <c r="BW33" s="49">
        <v>44.795820817640724</v>
      </c>
      <c r="BX33" s="49">
        <v>116.03256639999999</v>
      </c>
      <c r="BY33" s="49">
        <v>505.41737125666094</v>
      </c>
      <c r="BZ33" s="49">
        <v>138.51030407431693</v>
      </c>
      <c r="CA33" s="49">
        <v>117.2912532</v>
      </c>
      <c r="CB33" s="49">
        <v>470.67033718115181</v>
      </c>
      <c r="CC33" s="49">
        <v>121.96741559942353</v>
      </c>
      <c r="CD33" s="49">
        <v>80.611369381665114</v>
      </c>
      <c r="CE33" s="49">
        <v>123.37528963114035</v>
      </c>
      <c r="CF33" s="49">
        <v>51.668175642147865</v>
      </c>
      <c r="CG33" s="49">
        <v>158.65707944559645</v>
      </c>
      <c r="CH33" s="49">
        <v>24.134854950020038</v>
      </c>
      <c r="CI33" s="49">
        <v>30.172706688889512</v>
      </c>
    </row>
    <row r="34" spans="6:87" x14ac:dyDescent="0.2">
      <c r="F34" t="s">
        <v>106</v>
      </c>
      <c r="G34" s="5">
        <f t="shared" ref="G34:M34" si="31">$Z12*G12</f>
        <v>108.58771136767301</v>
      </c>
      <c r="H34" s="5">
        <f t="shared" si="31"/>
        <v>114.59481396162843</v>
      </c>
      <c r="I34" s="5">
        <f t="shared" si="31"/>
        <v>120.76546675433026</v>
      </c>
      <c r="J34" s="5">
        <f t="shared" si="31"/>
        <v>125.05336814146342</v>
      </c>
      <c r="K34" s="5">
        <f t="shared" si="31"/>
        <v>134.1583039116739</v>
      </c>
      <c r="L34" s="5">
        <f t="shared" si="31"/>
        <v>128.4176919356758</v>
      </c>
      <c r="M34" s="5">
        <f t="shared" si="31"/>
        <v>142.65329364655963</v>
      </c>
      <c r="N34" s="5">
        <f t="shared" si="15"/>
        <v>146.27160127882522</v>
      </c>
      <c r="O34" s="5">
        <f t="shared" si="15"/>
        <v>149.72058635238869</v>
      </c>
      <c r="P34" s="5">
        <f t="shared" si="15"/>
        <v>151.52637295854728</v>
      </c>
      <c r="Q34" s="5">
        <f t="shared" si="15"/>
        <v>163.09225818989452</v>
      </c>
      <c r="R34" s="5">
        <f t="shared" si="15"/>
        <v>171.34577086663123</v>
      </c>
      <c r="S34" s="5">
        <f t="shared" si="15"/>
        <v>165.89954924837659</v>
      </c>
      <c r="T34" s="5">
        <f t="shared" si="15"/>
        <v>170.08451021629881</v>
      </c>
      <c r="U34" s="5">
        <f t="shared" si="15"/>
        <v>175.96365883123499</v>
      </c>
      <c r="V34" s="5">
        <f t="shared" si="15"/>
        <v>172.16705300536009</v>
      </c>
      <c r="W34" s="5">
        <f t="shared" si="15"/>
        <v>191.34435899034963</v>
      </c>
      <c r="X34" s="5">
        <f t="shared" si="15"/>
        <v>194.48346030722433</v>
      </c>
      <c r="Y34" s="39">
        <f t="shared" si="16"/>
        <v>197.55336384638781</v>
      </c>
      <c r="Z34" s="39">
        <f t="shared" si="17"/>
        <v>203.60553441825095</v>
      </c>
      <c r="AA34" s="39">
        <f t="shared" si="17"/>
        <v>215.91304783726235</v>
      </c>
      <c r="AB34" s="39">
        <f t="shared" si="17"/>
        <v>219.58196495057035</v>
      </c>
      <c r="AC34" s="39">
        <f t="shared" si="17"/>
        <v>222.69125568365018</v>
      </c>
      <c r="AD34" s="39">
        <f t="shared" si="17"/>
        <v>231.05282872547528</v>
      </c>
      <c r="AE34" s="39">
        <f t="shared" si="17"/>
        <v>236.49778005779467</v>
      </c>
      <c r="AF34" s="39">
        <f t="shared" si="17"/>
        <v>243.108920556654</v>
      </c>
      <c r="AG34" s="39">
        <f t="shared" si="17"/>
        <v>239.95958617642583</v>
      </c>
      <c r="AH34" s="39">
        <f t="shared" si="17"/>
        <v>239.01765260400001</v>
      </c>
      <c r="AI34" s="39">
        <f t="shared" si="17"/>
        <v>247.72932454400001</v>
      </c>
      <c r="AJ34" s="39">
        <f t="shared" si="17"/>
        <v>241.930821616</v>
      </c>
      <c r="AK34" s="39">
        <f t="shared" si="17"/>
        <v>251.9243376</v>
      </c>
      <c r="AL34" s="39">
        <f t="shared" si="17"/>
        <v>247.14786856399999</v>
      </c>
      <c r="AM34" s="39">
        <f t="shared" si="17"/>
        <v>243.73968318000001</v>
      </c>
      <c r="AN34" s="39">
        <f t="shared" si="17"/>
        <v>244.92814419599998</v>
      </c>
      <c r="AO34" s="39">
        <f t="shared" si="17"/>
        <v>252.8525722</v>
      </c>
      <c r="AP34" s="39">
        <f t="shared" si="18"/>
        <v>256.52020947599999</v>
      </c>
      <c r="AQ34" s="39">
        <f t="shared" si="18"/>
        <v>245.509183912</v>
      </c>
      <c r="AR34" s="39">
        <f t="shared" si="18"/>
        <v>252.53347172400001</v>
      </c>
      <c r="AS34" s="39">
        <f t="shared" si="19"/>
        <v>231.50060375200002</v>
      </c>
      <c r="AT34" s="39">
        <f t="shared" si="20"/>
        <v>221.86882800799998</v>
      </c>
      <c r="AU34" s="39">
        <f t="shared" si="21"/>
        <v>229.32690385199999</v>
      </c>
      <c r="AV34" s="39">
        <f t="shared" si="24"/>
        <v>228.31483299999999</v>
      </c>
      <c r="AW34" s="39">
        <f t="shared" si="25"/>
        <v>220.31695828400001</v>
      </c>
      <c r="AX34" s="39">
        <f t="shared" si="26"/>
        <v>206.06780824000001</v>
      </c>
      <c r="AY34" s="39">
        <f t="shared" si="27"/>
        <v>204.47927316400001</v>
      </c>
      <c r="AZ34" s="39">
        <f t="shared" si="28"/>
        <v>209.27767453599998</v>
      </c>
      <c r="BA34" s="39">
        <f t="shared" si="22"/>
        <v>207.62067768</v>
      </c>
      <c r="BB34" s="39">
        <f t="shared" si="22"/>
        <v>193.77859288400001</v>
      </c>
      <c r="BQ34">
        <f t="shared" si="2"/>
        <v>1994</v>
      </c>
      <c r="BR34" s="49">
        <v>206.38096160000001</v>
      </c>
      <c r="BS34" s="49">
        <v>117.0374004</v>
      </c>
      <c r="BT34" s="49">
        <v>33.010758799999998</v>
      </c>
      <c r="BU34" s="49">
        <v>68.881439697990274</v>
      </c>
      <c r="BV34" s="49">
        <v>236.49778005779467</v>
      </c>
      <c r="BW34" s="49">
        <v>45.355872790684593</v>
      </c>
      <c r="BX34" s="49">
        <v>119.13475679999999</v>
      </c>
      <c r="BY34" s="49">
        <v>529.47404492411465</v>
      </c>
      <c r="BZ34" s="49">
        <v>147.55271189508196</v>
      </c>
      <c r="CA34" s="49">
        <v>119.70421959999999</v>
      </c>
      <c r="CB34" s="49">
        <v>475.66366162931934</v>
      </c>
      <c r="CC34" s="49">
        <v>123.24366390142647</v>
      </c>
      <c r="CD34" s="49">
        <v>85.185224707419891</v>
      </c>
      <c r="CE34" s="49">
        <v>124.94734607198089</v>
      </c>
      <c r="CF34" s="49">
        <v>52.586367072402908</v>
      </c>
      <c r="CG34" s="49">
        <v>162.54126812923144</v>
      </c>
      <c r="CH34" s="49">
        <v>24.760861050246227</v>
      </c>
      <c r="CI34" s="49">
        <v>30.71790273128039</v>
      </c>
    </row>
    <row r="35" spans="6:87" x14ac:dyDescent="0.2">
      <c r="F35" t="s">
        <v>107</v>
      </c>
      <c r="G35" s="5">
        <f t="shared" ref="G35:M35" si="32">$Z13*G13</f>
        <v>19.654830045750757</v>
      </c>
      <c r="H35" s="5">
        <f t="shared" si="32"/>
        <v>18.859314067455642</v>
      </c>
      <c r="I35" s="5">
        <f t="shared" si="32"/>
        <v>19.523578840096089</v>
      </c>
      <c r="J35" s="5">
        <f t="shared" si="32"/>
        <v>21.555728488482785</v>
      </c>
      <c r="K35" s="5">
        <f t="shared" si="32"/>
        <v>20.445348627529562</v>
      </c>
      <c r="L35" s="5">
        <f t="shared" si="32"/>
        <v>23.292740227610388</v>
      </c>
      <c r="M35" s="5">
        <f t="shared" si="32"/>
        <v>24.453094053726716</v>
      </c>
      <c r="N35" s="5">
        <f t="shared" si="15"/>
        <v>26.273357004969821</v>
      </c>
      <c r="O35" s="5">
        <f t="shared" si="15"/>
        <v>25.406581480299</v>
      </c>
      <c r="P35" s="5">
        <f t="shared" si="15"/>
        <v>23.300642176861189</v>
      </c>
      <c r="Q35" s="5">
        <f t="shared" si="15"/>
        <v>23.550910729039504</v>
      </c>
      <c r="R35" s="5">
        <f t="shared" si="15"/>
        <v>25.410316204946319</v>
      </c>
      <c r="S35" s="5">
        <f t="shared" si="15"/>
        <v>26.056743187171495</v>
      </c>
      <c r="T35" s="5">
        <f t="shared" si="15"/>
        <v>26.455827776869281</v>
      </c>
      <c r="U35" s="5">
        <f t="shared" si="15"/>
        <v>32.066297818155704</v>
      </c>
      <c r="V35" s="5">
        <f t="shared" si="15"/>
        <v>31.070213829376723</v>
      </c>
      <c r="W35" s="5">
        <f t="shared" si="15"/>
        <v>33.35837801904546</v>
      </c>
      <c r="X35" s="5">
        <f t="shared" si="15"/>
        <v>38.574928279933708</v>
      </c>
      <c r="Y35" s="39">
        <f t="shared" si="16"/>
        <v>41.228554572525958</v>
      </c>
      <c r="Z35" s="39">
        <f t="shared" si="17"/>
        <v>40.860254194455955</v>
      </c>
      <c r="AA35" s="39">
        <f t="shared" si="17"/>
        <v>42.559536231756297</v>
      </c>
      <c r="AB35" s="39">
        <f t="shared" si="17"/>
        <v>41.919301686389602</v>
      </c>
      <c r="AC35" s="39">
        <f t="shared" si="17"/>
        <v>42.442327456311915</v>
      </c>
      <c r="AD35" s="39">
        <f t="shared" si="17"/>
        <v>44.795820817640724</v>
      </c>
      <c r="AE35" s="39">
        <f t="shared" si="17"/>
        <v>45.355872790684593</v>
      </c>
      <c r="AF35" s="39">
        <f t="shared" si="17"/>
        <v>47.033576643384293</v>
      </c>
      <c r="AG35" s="39">
        <f t="shared" si="17"/>
        <v>47.738300535909723</v>
      </c>
      <c r="AH35" s="39">
        <f t="shared" si="17"/>
        <v>48.749823471999996</v>
      </c>
      <c r="AI35" s="39">
        <f t="shared" si="17"/>
        <v>50.323086435999997</v>
      </c>
      <c r="AJ35" s="39">
        <f t="shared" si="17"/>
        <v>50.350853291999996</v>
      </c>
      <c r="AK35" s="39">
        <f t="shared" si="17"/>
        <v>52.926108060000004</v>
      </c>
      <c r="AL35" s="39">
        <f t="shared" si="17"/>
        <v>52.071531715999996</v>
      </c>
      <c r="AM35" s="39">
        <f t="shared" si="17"/>
        <v>50.270889659999995</v>
      </c>
      <c r="AN35" s="39">
        <f t="shared" si="17"/>
        <v>51.488345851999995</v>
      </c>
      <c r="AO35" s="39">
        <f t="shared" si="17"/>
        <v>59.880651180000001</v>
      </c>
      <c r="AP35" s="39">
        <f t="shared" si="18"/>
        <v>61.317075883999998</v>
      </c>
      <c r="AQ35" s="39">
        <f t="shared" si="18"/>
        <v>60.357440648000001</v>
      </c>
      <c r="AR35" s="39">
        <f t="shared" si="18"/>
        <v>57.377631864000001</v>
      </c>
      <c r="AS35" s="39">
        <f t="shared" si="19"/>
        <v>58.050478263999999</v>
      </c>
      <c r="AT35" s="39">
        <f t="shared" si="20"/>
        <v>47.950862727999997</v>
      </c>
      <c r="AU35" s="39">
        <f t="shared" si="21"/>
        <v>46.128059732000004</v>
      </c>
      <c r="AV35" s="39">
        <f t="shared" si="24"/>
        <v>45.594692479999999</v>
      </c>
      <c r="AW35" s="39">
        <f t="shared" si="25"/>
        <v>43.359470807999998</v>
      </c>
      <c r="AX35" s="39">
        <f t="shared" si="26"/>
        <v>43.347716468000002</v>
      </c>
      <c r="AY35" s="39">
        <f t="shared" si="27"/>
        <v>42.821162979999997</v>
      </c>
      <c r="AZ35" s="39">
        <f t="shared" si="28"/>
        <v>41.974297755999999</v>
      </c>
      <c r="BA35" s="39">
        <f t="shared" si="22"/>
        <v>41.508273148000001</v>
      </c>
      <c r="BB35" s="39">
        <f t="shared" si="22"/>
        <v>34.702370395999999</v>
      </c>
      <c r="BQ35">
        <f t="shared" si="2"/>
        <v>1995</v>
      </c>
      <c r="BR35" s="49">
        <v>215.29992960000001</v>
      </c>
      <c r="BS35" s="49">
        <v>118.22307040000001</v>
      </c>
      <c r="BT35" s="49">
        <v>34.404902</v>
      </c>
      <c r="BU35" s="49">
        <v>70.680508245656824</v>
      </c>
      <c r="BV35" s="49">
        <v>243.108920556654</v>
      </c>
      <c r="BW35" s="49">
        <v>47.033576643384293</v>
      </c>
      <c r="BX35" s="49">
        <v>121.335838</v>
      </c>
      <c r="BY35" s="49">
        <v>523.466804075548</v>
      </c>
      <c r="BZ35" s="49">
        <v>154.46017165245902</v>
      </c>
      <c r="CA35" s="49">
        <v>123.5822988</v>
      </c>
      <c r="CB35" s="49">
        <v>470.03205023246073</v>
      </c>
      <c r="CC35" s="49">
        <v>130.09231242172157</v>
      </c>
      <c r="CD35" s="49">
        <v>86.617117459273658</v>
      </c>
      <c r="CE35" s="49">
        <v>125.59605384912012</v>
      </c>
      <c r="CF35" s="49">
        <v>53.684133994769773</v>
      </c>
      <c r="CG35" s="49">
        <v>165.69294802145021</v>
      </c>
      <c r="CH35" s="49">
        <v>25.688439369539484</v>
      </c>
      <c r="CI35" s="49">
        <v>32.973185738934589</v>
      </c>
    </row>
    <row r="36" spans="6:87" x14ac:dyDescent="0.2">
      <c r="F36" t="s">
        <v>108</v>
      </c>
      <c r="G36" s="5">
        <f t="shared" ref="G36:M36" si="33">$Z14*G14</f>
        <v>75.005281332783184</v>
      </c>
      <c r="H36" s="5">
        <f t="shared" si="33"/>
        <v>80.509696332573895</v>
      </c>
      <c r="I36" s="5">
        <f t="shared" si="33"/>
        <v>84.700773717477233</v>
      </c>
      <c r="J36" s="5">
        <f t="shared" si="33"/>
        <v>88.748814332442336</v>
      </c>
      <c r="K36" s="5">
        <f t="shared" si="33"/>
        <v>92.967898917053859</v>
      </c>
      <c r="L36" s="5">
        <f t="shared" si="33"/>
        <v>90.097160946964934</v>
      </c>
      <c r="M36" s="5">
        <f t="shared" si="33"/>
        <v>94.582313928804211</v>
      </c>
      <c r="N36" s="5">
        <f t="shared" si="15"/>
        <v>102.90945455632693</v>
      </c>
      <c r="O36" s="5">
        <f t="shared" si="15"/>
        <v>103.28054995246039</v>
      </c>
      <c r="P36" s="5">
        <f t="shared" si="15"/>
        <v>107.74569779165097</v>
      </c>
      <c r="Q36" s="5">
        <f t="shared" si="15"/>
        <v>109.93626091168396</v>
      </c>
      <c r="R36" s="5">
        <f t="shared" si="15"/>
        <v>111.07655404266006</v>
      </c>
      <c r="S36" s="5">
        <f t="shared" si="15"/>
        <v>116.66999192723749</v>
      </c>
      <c r="T36" s="5">
        <f t="shared" si="15"/>
        <v>114.14034163930897</v>
      </c>
      <c r="U36" s="5">
        <f t="shared" si="15"/>
        <v>118.75852881976211</v>
      </c>
      <c r="V36" s="5">
        <f t="shared" si="15"/>
        <v>119.90803231841366</v>
      </c>
      <c r="W36" s="5">
        <f t="shared" si="15"/>
        <v>126.48259921823126</v>
      </c>
      <c r="X36" s="5">
        <f t="shared" si="15"/>
        <v>114.14641279999999</v>
      </c>
      <c r="Y36" s="39">
        <f t="shared" si="16"/>
        <v>117.47174800000001</v>
      </c>
      <c r="Z36" s="39">
        <f t="shared" si="17"/>
        <v>116.4321116</v>
      </c>
      <c r="AA36" s="39">
        <f t="shared" si="17"/>
        <v>120.3296392</v>
      </c>
      <c r="AB36" s="39">
        <f t="shared" si="17"/>
        <v>119.63222639999999</v>
      </c>
      <c r="AC36" s="39">
        <f t="shared" si="17"/>
        <v>120.65616759999999</v>
      </c>
      <c r="AD36" s="39">
        <f t="shared" si="17"/>
        <v>116.03256639999999</v>
      </c>
      <c r="AE36" s="39">
        <f t="shared" si="17"/>
        <v>119.13475679999999</v>
      </c>
      <c r="AF36" s="39">
        <f t="shared" si="17"/>
        <v>121.335838</v>
      </c>
      <c r="AG36" s="39">
        <f t="shared" si="17"/>
        <v>121.163532</v>
      </c>
      <c r="AH36" s="39">
        <f t="shared" si="17"/>
        <v>118.26324158200001</v>
      </c>
      <c r="AI36" s="39">
        <f t="shared" si="17"/>
        <v>115.36295116400001</v>
      </c>
      <c r="AJ36" s="39">
        <f t="shared" si="17"/>
        <v>113.69422044</v>
      </c>
      <c r="AK36" s="39">
        <f t="shared" si="17"/>
        <v>134.34793673600001</v>
      </c>
      <c r="AL36" s="39">
        <f t="shared" si="17"/>
        <v>141.62263805199999</v>
      </c>
      <c r="AM36" s="39">
        <f t="shared" si="17"/>
        <v>133.38386248799998</v>
      </c>
      <c r="AN36" s="39">
        <f t="shared" si="17"/>
        <v>136.040435452</v>
      </c>
      <c r="AO36" s="39">
        <f t="shared" si="17"/>
        <v>146.70073129999997</v>
      </c>
      <c r="AP36" s="39">
        <f t="shared" si="18"/>
        <v>167.58738483599998</v>
      </c>
      <c r="AQ36" s="39">
        <f t="shared" si="18"/>
        <v>168.53377468799999</v>
      </c>
      <c r="AR36" s="39">
        <f t="shared" si="18"/>
        <v>167.6105762</v>
      </c>
      <c r="AS36" s="39">
        <f t="shared" si="19"/>
        <v>172.90319212399999</v>
      </c>
      <c r="AT36" s="39">
        <f t="shared" si="20"/>
        <v>163.05532759599998</v>
      </c>
      <c r="AU36" s="39">
        <f t="shared" si="21"/>
        <v>164.91379281599998</v>
      </c>
      <c r="AV36" s="39">
        <f t="shared" si="24"/>
        <v>171.975315784</v>
      </c>
      <c r="AW36" s="39">
        <f t="shared" si="25"/>
        <v>174.67706704</v>
      </c>
      <c r="AX36" s="39">
        <f t="shared" si="26"/>
        <v>175.214051012</v>
      </c>
      <c r="AY36" s="39">
        <f t="shared" si="27"/>
        <v>181.76113991600002</v>
      </c>
      <c r="AZ36" s="39">
        <f t="shared" si="28"/>
        <v>180.96192668399999</v>
      </c>
      <c r="BA36" s="39">
        <f t="shared" si="22"/>
        <v>179.61001039600001</v>
      </c>
      <c r="BB36" s="39">
        <f t="shared" si="22"/>
        <v>192.05447175200001</v>
      </c>
      <c r="BQ36">
        <f t="shared" si="2"/>
        <v>1996</v>
      </c>
      <c r="BR36" s="49">
        <v>223.774314</v>
      </c>
      <c r="BS36" s="49">
        <v>115.34846039999999</v>
      </c>
      <c r="BT36" s="49">
        <v>32.783178399999997</v>
      </c>
      <c r="BU36" s="49">
        <v>71.392824962144573</v>
      </c>
      <c r="BV36" s="49">
        <v>239.95958617642583</v>
      </c>
      <c r="BW36" s="49">
        <v>47.738300535909723</v>
      </c>
      <c r="BX36" s="49">
        <v>121.163532</v>
      </c>
      <c r="BY36" s="49">
        <v>548.79503290387856</v>
      </c>
      <c r="BZ36" s="49">
        <v>166.77825795409836</v>
      </c>
      <c r="CA36" s="49">
        <v>127.288072</v>
      </c>
      <c r="CB36" s="49">
        <v>479.4804248670157</v>
      </c>
      <c r="CC36" s="49">
        <v>135.3525343201872</v>
      </c>
      <c r="CD36" s="49">
        <v>87.864782932517485</v>
      </c>
      <c r="CE36" s="49">
        <v>126.7992960939353</v>
      </c>
      <c r="CF36" s="49">
        <v>53.999000525056346</v>
      </c>
      <c r="CG36" s="49">
        <v>164.64250068173021</v>
      </c>
      <c r="CH36" s="49">
        <v>25.845108995052591</v>
      </c>
      <c r="CI36" s="49">
        <v>33.488920877171424</v>
      </c>
    </row>
    <row r="37" spans="6:87" x14ac:dyDescent="0.2">
      <c r="F37" t="s">
        <v>109</v>
      </c>
      <c r="G37" s="5">
        <f t="shared" ref="G37:M37" si="34">$Z15*G15</f>
        <v>307.71763286030676</v>
      </c>
      <c r="H37" s="5">
        <f t="shared" si="34"/>
        <v>339.63013688506902</v>
      </c>
      <c r="I37" s="5">
        <f t="shared" si="34"/>
        <v>389.21899303889154</v>
      </c>
      <c r="J37" s="5">
        <f t="shared" si="34"/>
        <v>415.85896106974752</v>
      </c>
      <c r="K37" s="5">
        <f t="shared" si="34"/>
        <v>416.6583226238227</v>
      </c>
      <c r="L37" s="5">
        <f t="shared" si="34"/>
        <v>420.93444986989203</v>
      </c>
      <c r="M37" s="5">
        <f t="shared" si="34"/>
        <v>479.13142441099154</v>
      </c>
      <c r="N37" s="5">
        <f t="shared" si="15"/>
        <v>492.76729336074919</v>
      </c>
      <c r="O37" s="5">
        <f t="shared" si="15"/>
        <v>485.7629766175441</v>
      </c>
      <c r="P37" s="5">
        <f t="shared" si="15"/>
        <v>485.89298713713947</v>
      </c>
      <c r="Q37" s="5">
        <f t="shared" si="15"/>
        <v>445.86904553824206</v>
      </c>
      <c r="R37" s="5">
        <f t="shared" si="15"/>
        <v>443.64159968298549</v>
      </c>
      <c r="S37" s="5">
        <f t="shared" si="15"/>
        <v>404.67805638453848</v>
      </c>
      <c r="T37" s="5">
        <f t="shared" si="15"/>
        <v>428.97681935549195</v>
      </c>
      <c r="U37" s="5">
        <f t="shared" si="15"/>
        <v>461.3707685856312</v>
      </c>
      <c r="V37" s="5">
        <f t="shared" si="15"/>
        <v>436.18818800822464</v>
      </c>
      <c r="W37" s="5">
        <f t="shared" si="15"/>
        <v>414.78711209278379</v>
      </c>
      <c r="X37" s="5">
        <f t="shared" si="15"/>
        <v>430.71601679865086</v>
      </c>
      <c r="Y37" s="39">
        <f t="shared" si="16"/>
        <v>436.09388806745358</v>
      </c>
      <c r="Z37" s="39">
        <f t="shared" si="17"/>
        <v>461.83742461517704</v>
      </c>
      <c r="AA37" s="39">
        <f t="shared" si="17"/>
        <v>490.50716601146706</v>
      </c>
      <c r="AB37" s="39">
        <f t="shared" si="17"/>
        <v>496.71773098954463</v>
      </c>
      <c r="AC37" s="39">
        <f t="shared" si="17"/>
        <v>495.33325646542994</v>
      </c>
      <c r="AD37" s="39">
        <f t="shared" si="17"/>
        <v>505.41737125666094</v>
      </c>
      <c r="AE37" s="39">
        <f t="shared" si="17"/>
        <v>529.47404492411465</v>
      </c>
      <c r="AF37" s="39">
        <f t="shared" si="17"/>
        <v>523.466804075548</v>
      </c>
      <c r="AG37" s="39">
        <f t="shared" si="17"/>
        <v>548.79503290387856</v>
      </c>
      <c r="AH37" s="39">
        <f t="shared" si="17"/>
        <v>535.96464723600002</v>
      </c>
      <c r="AI37" s="39">
        <f t="shared" si="17"/>
        <v>520.46306800000002</v>
      </c>
      <c r="AJ37" s="39">
        <f t="shared" si="17"/>
        <v>542.14351992399997</v>
      </c>
      <c r="AK37" s="39">
        <f t="shared" si="17"/>
        <v>555.82240193600001</v>
      </c>
      <c r="AL37" s="39">
        <f t="shared" si="17"/>
        <v>518.00046382400001</v>
      </c>
      <c r="AM37" s="39">
        <f t="shared" si="17"/>
        <v>505.95882659999995</v>
      </c>
      <c r="AN37" s="39">
        <f t="shared" si="17"/>
        <v>541.32503912800007</v>
      </c>
      <c r="AO37" s="39">
        <f t="shared" si="17"/>
        <v>534.51343151200001</v>
      </c>
      <c r="AP37" s="39">
        <f t="shared" si="18"/>
        <v>521.76233371599994</v>
      </c>
      <c r="AQ37" s="39">
        <f t="shared" si="18"/>
        <v>532.21748647599998</v>
      </c>
      <c r="AR37" s="39">
        <f t="shared" si="18"/>
        <v>550.50749882799994</v>
      </c>
      <c r="AS37" s="39">
        <f t="shared" si="19"/>
        <v>536.77850136000006</v>
      </c>
      <c r="AT37" s="39">
        <f t="shared" si="20"/>
        <v>469.80293055599998</v>
      </c>
      <c r="AU37" s="39">
        <f t="shared" si="21"/>
        <v>509.31938387599996</v>
      </c>
      <c r="AV37" s="39">
        <f t="shared" si="24"/>
        <v>529.71076855199999</v>
      </c>
      <c r="AW37" s="39">
        <f t="shared" si="25"/>
        <v>540.27317753199998</v>
      </c>
      <c r="AX37" s="39">
        <f t="shared" si="26"/>
        <v>529.74683339199998</v>
      </c>
      <c r="AY37" s="39">
        <f t="shared" si="27"/>
        <v>522.15054083999996</v>
      </c>
      <c r="AZ37" s="39">
        <f t="shared" si="28"/>
        <v>518.67282913199995</v>
      </c>
      <c r="BA37" s="39">
        <f t="shared" si="22"/>
        <v>493.08530624400004</v>
      </c>
      <c r="BB37" s="39">
        <f t="shared" si="22"/>
        <v>503.75010251999998</v>
      </c>
      <c r="BQ37">
        <f t="shared" si="2"/>
        <v>1997</v>
      </c>
      <c r="BR37" s="49">
        <v>232.942692376</v>
      </c>
      <c r="BS37" s="49">
        <v>113.555870664</v>
      </c>
      <c r="BT37" s="49">
        <v>27.277875456</v>
      </c>
      <c r="BU37" s="49">
        <v>74.590970555999988</v>
      </c>
      <c r="BV37" s="49">
        <v>239.01765260400001</v>
      </c>
      <c r="BW37" s="49">
        <v>48.749823471999996</v>
      </c>
      <c r="BX37" s="49">
        <v>118.26324158200001</v>
      </c>
      <c r="BY37" s="49">
        <v>535.96464723600002</v>
      </c>
      <c r="BZ37" s="49">
        <v>170.17742038799997</v>
      </c>
      <c r="CA37" s="49">
        <v>128.38429642</v>
      </c>
      <c r="CB37" s="49">
        <v>452.448700148</v>
      </c>
      <c r="CC37" s="49">
        <v>141.63235883999999</v>
      </c>
      <c r="CD37" s="49">
        <v>91.946374692000006</v>
      </c>
      <c r="CE37" s="49">
        <v>128.99854854399999</v>
      </c>
      <c r="CF37" s="49">
        <v>56.083009879999999</v>
      </c>
      <c r="CG37" s="49">
        <v>181.49709206</v>
      </c>
      <c r="CH37" s="49">
        <v>28.695360147999999</v>
      </c>
      <c r="CI37" s="49">
        <v>34.532872472000001</v>
      </c>
    </row>
    <row r="38" spans="6:87" x14ac:dyDescent="0.2">
      <c r="F38" t="s">
        <v>110</v>
      </c>
      <c r="G38" s="5">
        <f t="shared" ref="G38:M38" si="35">$Z16*G16</f>
        <v>49.600380017543152</v>
      </c>
      <c r="H38" s="5">
        <f t="shared" si="35"/>
        <v>53.826868551945594</v>
      </c>
      <c r="I38" s="5">
        <f t="shared" si="35"/>
        <v>60.348937719884226</v>
      </c>
      <c r="J38" s="5">
        <f t="shared" si="35"/>
        <v>66.703824482228868</v>
      </c>
      <c r="K38" s="5">
        <f t="shared" si="35"/>
        <v>63.294672152952593</v>
      </c>
      <c r="L38" s="5">
        <f t="shared" si="35"/>
        <v>62.690469073086597</v>
      </c>
      <c r="M38" s="5">
        <f t="shared" si="35"/>
        <v>65.882577577556631</v>
      </c>
      <c r="N38" s="5">
        <f t="shared" si="15"/>
        <v>75.246747640593085</v>
      </c>
      <c r="O38" s="5">
        <f t="shared" si="15"/>
        <v>76.62526923057861</v>
      </c>
      <c r="P38" s="5">
        <f t="shared" si="15"/>
        <v>76.185315531647063</v>
      </c>
      <c r="Q38" s="5">
        <f t="shared" si="15"/>
        <v>72.257017837631565</v>
      </c>
      <c r="R38" s="5">
        <f t="shared" si="15"/>
        <v>76.434622627708279</v>
      </c>
      <c r="S38" s="5">
        <f t="shared" si="15"/>
        <v>102.73309940006341</v>
      </c>
      <c r="T38" s="5">
        <f t="shared" si="15"/>
        <v>106.87941859377166</v>
      </c>
      <c r="U38" s="5">
        <f t="shared" si="15"/>
        <v>98.576025782603509</v>
      </c>
      <c r="V38" s="5">
        <f t="shared" si="15"/>
        <v>100.41672362169106</v>
      </c>
      <c r="W38" s="5">
        <f t="shared" si="15"/>
        <v>104.1491801306292</v>
      </c>
      <c r="X38" s="5">
        <f t="shared" si="15"/>
        <v>110.34914765901638</v>
      </c>
      <c r="Y38" s="39">
        <f t="shared" si="16"/>
        <v>116.07783040218577</v>
      </c>
      <c r="Z38" s="39">
        <f t="shared" si="17"/>
        <v>118.75510933989071</v>
      </c>
      <c r="AA38" s="39">
        <f t="shared" si="17"/>
        <v>122.40925133551912</v>
      </c>
      <c r="AB38" s="39">
        <f t="shared" si="17"/>
        <v>120.58301469289617</v>
      </c>
      <c r="AC38" s="39">
        <f t="shared" si="17"/>
        <v>126.47322860109288</v>
      </c>
      <c r="AD38" s="39">
        <f t="shared" si="17"/>
        <v>138.51030407431693</v>
      </c>
      <c r="AE38" s="39">
        <f t="shared" si="17"/>
        <v>147.55271189508196</v>
      </c>
      <c r="AF38" s="39">
        <f t="shared" si="17"/>
        <v>154.46017165245902</v>
      </c>
      <c r="AG38" s="39">
        <f t="shared" si="17"/>
        <v>166.77825795409836</v>
      </c>
      <c r="AH38" s="39">
        <f t="shared" si="17"/>
        <v>170.17742038799997</v>
      </c>
      <c r="AI38" s="39">
        <f t="shared" si="17"/>
        <v>171.04344057999998</v>
      </c>
      <c r="AJ38" s="39">
        <f t="shared" si="17"/>
        <v>180.8895684</v>
      </c>
      <c r="AK38" s="39">
        <f t="shared" si="17"/>
        <v>186.67535139199998</v>
      </c>
      <c r="AL38" s="39">
        <f t="shared" si="17"/>
        <v>188.27252565200001</v>
      </c>
      <c r="AM38" s="39">
        <f t="shared" si="17"/>
        <v>184.49908566799999</v>
      </c>
      <c r="AN38" s="39">
        <f t="shared" si="17"/>
        <v>189.65162875599998</v>
      </c>
      <c r="AO38" s="39">
        <f t="shared" si="17"/>
        <v>216.57722544799998</v>
      </c>
      <c r="AP38" s="39">
        <f t="shared" si="18"/>
        <v>223.40631956399997</v>
      </c>
      <c r="AQ38" s="39">
        <f t="shared" si="18"/>
        <v>220.01886207999999</v>
      </c>
      <c r="AR38" s="39">
        <f t="shared" si="18"/>
        <v>207.53010613999999</v>
      </c>
      <c r="AS38" s="39">
        <f t="shared" si="19"/>
        <v>199.834729108</v>
      </c>
      <c r="AT38" s="39">
        <f t="shared" si="20"/>
        <v>163.97076378400001</v>
      </c>
      <c r="AU38" s="39">
        <f t="shared" si="21"/>
        <v>171.66115588400001</v>
      </c>
      <c r="AV38" s="39">
        <f t="shared" si="24"/>
        <v>175.84163040799999</v>
      </c>
      <c r="AW38" s="39">
        <f t="shared" si="25"/>
        <v>178.53335720800001</v>
      </c>
      <c r="AX38" s="39">
        <f t="shared" si="26"/>
        <v>179.59327794799998</v>
      </c>
      <c r="AY38" s="39">
        <f t="shared" si="27"/>
        <v>178.72704962399999</v>
      </c>
      <c r="AZ38" s="39">
        <f t="shared" si="28"/>
        <v>181.37546449599998</v>
      </c>
      <c r="BA38" s="39">
        <f t="shared" si="22"/>
        <v>179.65944003999999</v>
      </c>
      <c r="BB38" s="39">
        <f t="shared" si="22"/>
        <v>168.140862416</v>
      </c>
      <c r="BQ38">
        <f t="shared" si="2"/>
        <v>1998</v>
      </c>
      <c r="BR38" s="49">
        <v>237.41109875599997</v>
      </c>
      <c r="BS38" s="49">
        <v>115.50939079199999</v>
      </c>
      <c r="BT38" s="49">
        <v>25.900034791999996</v>
      </c>
      <c r="BU38" s="49">
        <v>76.021762047999999</v>
      </c>
      <c r="BV38" s="49">
        <v>247.72932454400001</v>
      </c>
      <c r="BW38" s="49">
        <v>50.323086435999997</v>
      </c>
      <c r="BX38" s="49">
        <v>115.36295116400001</v>
      </c>
      <c r="BY38" s="49">
        <v>520.46306800000002</v>
      </c>
      <c r="BZ38" s="49">
        <v>171.04344057999998</v>
      </c>
      <c r="CA38" s="49">
        <v>131.55392499999999</v>
      </c>
      <c r="CB38" s="49">
        <v>444.10567774799995</v>
      </c>
      <c r="CC38" s="49">
        <v>145.711790396</v>
      </c>
      <c r="CD38" s="49">
        <v>92.773699392000012</v>
      </c>
      <c r="CE38" s="49">
        <v>127.959284052</v>
      </c>
      <c r="CF38" s="49">
        <v>55.019660080000001</v>
      </c>
      <c r="CG38" s="49">
        <v>175.71835826</v>
      </c>
      <c r="CH38" s="49">
        <v>28.813957855999998</v>
      </c>
      <c r="CI38" s="49">
        <v>35.481852031999999</v>
      </c>
    </row>
    <row r="39" spans="6:87" x14ac:dyDescent="0.2">
      <c r="F39" t="s">
        <v>111</v>
      </c>
      <c r="G39" s="5">
        <f t="shared" ref="G39:M39" si="36">$Z17*G17</f>
        <v>83.09963951188027</v>
      </c>
      <c r="H39" s="5">
        <f t="shared" si="36"/>
        <v>85.36480021614156</v>
      </c>
      <c r="I39" s="5">
        <f t="shared" si="36"/>
        <v>93.019861225102431</v>
      </c>
      <c r="J39" s="5">
        <f t="shared" si="36"/>
        <v>97.93789479308947</v>
      </c>
      <c r="K39" s="5">
        <f t="shared" si="36"/>
        <v>99.178172967293563</v>
      </c>
      <c r="L39" s="5">
        <f t="shared" si="36"/>
        <v>95.025545316182075</v>
      </c>
      <c r="M39" s="5">
        <f t="shared" si="36"/>
        <v>99.937567842937113</v>
      </c>
      <c r="N39" s="5">
        <f t="shared" si="15"/>
        <v>105.71017110607445</v>
      </c>
      <c r="O39" s="5">
        <f t="shared" si="15"/>
        <v>111.96265582756705</v>
      </c>
      <c r="P39" s="5">
        <f t="shared" si="15"/>
        <v>112.75410958978128</v>
      </c>
      <c r="Q39" s="5">
        <f t="shared" si="15"/>
        <v>104.2765377722408</v>
      </c>
      <c r="R39" s="5">
        <f t="shared" si="15"/>
        <v>102.92004613421788</v>
      </c>
      <c r="S39" s="5">
        <f t="shared" si="15"/>
        <v>95.280012728337027</v>
      </c>
      <c r="T39" s="5">
        <f t="shared" si="15"/>
        <v>95.532476460081341</v>
      </c>
      <c r="U39" s="5">
        <f t="shared" si="15"/>
        <v>102.69563392822297</v>
      </c>
      <c r="V39" s="5">
        <f t="shared" si="15"/>
        <v>104.31492989185355</v>
      </c>
      <c r="W39" s="5">
        <f t="shared" si="15"/>
        <v>108.11468858436993</v>
      </c>
      <c r="X39" s="5">
        <f t="shared" si="15"/>
        <v>113.86799359999998</v>
      </c>
      <c r="Y39" s="39">
        <f t="shared" si="16"/>
        <v>116.29324320000001</v>
      </c>
      <c r="Z39" s="39">
        <f t="shared" si="17"/>
        <v>113.7366316</v>
      </c>
      <c r="AA39" s="39">
        <f t="shared" si="17"/>
        <v>115.537144</v>
      </c>
      <c r="AB39" s="39">
        <f t="shared" si="17"/>
        <v>112.2251156</v>
      </c>
      <c r="AC39" s="39">
        <f t="shared" si="17"/>
        <v>115.1096204</v>
      </c>
      <c r="AD39" s="39">
        <f t="shared" si="17"/>
        <v>117.2912532</v>
      </c>
      <c r="AE39" s="39">
        <f t="shared" si="17"/>
        <v>119.70421959999999</v>
      </c>
      <c r="AF39" s="39">
        <f t="shared" si="17"/>
        <v>123.5822988</v>
      </c>
      <c r="AG39" s="39">
        <f t="shared" si="17"/>
        <v>127.288072</v>
      </c>
      <c r="AH39" s="39">
        <f t="shared" si="17"/>
        <v>128.38429642</v>
      </c>
      <c r="AI39" s="39">
        <f t="shared" si="17"/>
        <v>131.55392499999999</v>
      </c>
      <c r="AJ39" s="39">
        <f t="shared" si="17"/>
        <v>137.15007926800001</v>
      </c>
      <c r="AK39" s="39">
        <f t="shared" si="17"/>
        <v>140.30935583999999</v>
      </c>
      <c r="AL39" s="39">
        <f t="shared" si="17"/>
        <v>140.31999104400001</v>
      </c>
      <c r="AM39" s="39">
        <f t="shared" si="17"/>
        <v>139.16903131999999</v>
      </c>
      <c r="AN39" s="39">
        <f t="shared" si="17"/>
        <v>139.718660164</v>
      </c>
      <c r="AO39" s="39">
        <f t="shared" si="17"/>
        <v>151.96005633999999</v>
      </c>
      <c r="AP39" s="39">
        <f t="shared" si="18"/>
        <v>158.331884452</v>
      </c>
      <c r="AQ39" s="39">
        <f t="shared" si="18"/>
        <v>157.69310346</v>
      </c>
      <c r="AR39" s="39">
        <f t="shared" si="18"/>
        <v>156.99244243599998</v>
      </c>
      <c r="AS39" s="39">
        <f t="shared" si="19"/>
        <v>148.58574188</v>
      </c>
      <c r="AT39" s="39">
        <f t="shared" si="20"/>
        <v>117.327584176</v>
      </c>
      <c r="AU39" s="39">
        <f t="shared" si="21"/>
        <v>120.60719175200001</v>
      </c>
      <c r="AV39" s="39">
        <f t="shared" si="24"/>
        <v>120.78136070399999</v>
      </c>
      <c r="AW39" s="39">
        <f t="shared" si="25"/>
        <v>120.404798736</v>
      </c>
      <c r="AX39" s="39">
        <f t="shared" si="26"/>
        <v>119.71339788</v>
      </c>
      <c r="AY39" s="39">
        <f t="shared" si="27"/>
        <v>121.96623911999998</v>
      </c>
      <c r="AZ39" s="39">
        <f t="shared" si="28"/>
        <v>125.64074134000001</v>
      </c>
      <c r="BA39" s="39">
        <f t="shared" si="22"/>
        <v>126.29095253199999</v>
      </c>
      <c r="BB39" s="39">
        <f t="shared" si="22"/>
        <v>124.541934036</v>
      </c>
      <c r="BQ39">
        <f t="shared" si="2"/>
        <v>1999</v>
      </c>
      <c r="BR39" s="49">
        <v>233.76357863199999</v>
      </c>
      <c r="BS39" s="49">
        <v>114.812943588</v>
      </c>
      <c r="BT39" s="49">
        <v>24.839243991999997</v>
      </c>
      <c r="BU39" s="49">
        <v>79.383206443999995</v>
      </c>
      <c r="BV39" s="49">
        <v>241.930821616</v>
      </c>
      <c r="BW39" s="49">
        <v>50.350853291999996</v>
      </c>
      <c r="BX39" s="49">
        <v>113.69422044</v>
      </c>
      <c r="BY39" s="49">
        <v>542.14351992399997</v>
      </c>
      <c r="BZ39" s="49">
        <v>180.8895684</v>
      </c>
      <c r="CA39" s="49">
        <v>137.15007926800001</v>
      </c>
      <c r="CB39" s="49">
        <v>456.774188084</v>
      </c>
      <c r="CC39" s="49">
        <v>154.172833876</v>
      </c>
      <c r="CD39" s="49">
        <v>90.795930179999999</v>
      </c>
      <c r="CE39" s="49">
        <v>123.546483036</v>
      </c>
      <c r="CF39" s="49">
        <v>54.704630119999997</v>
      </c>
      <c r="CG39" s="49">
        <v>181.08791137200001</v>
      </c>
      <c r="CH39" s="49">
        <v>28.427545444</v>
      </c>
      <c r="CI39" s="49">
        <v>35.006884571999997</v>
      </c>
    </row>
    <row r="40" spans="6:87" x14ac:dyDescent="0.2">
      <c r="F40" t="s">
        <v>112</v>
      </c>
      <c r="G40" s="5">
        <f t="shared" ref="G40:M40" si="37">$Z18*G18</f>
        <v>426.50175179106191</v>
      </c>
      <c r="H40" s="5">
        <f t="shared" si="37"/>
        <v>411.16701485644825</v>
      </c>
      <c r="I40" s="5">
        <f t="shared" si="37"/>
        <v>439.78238163247892</v>
      </c>
      <c r="J40" s="5">
        <f t="shared" si="37"/>
        <v>517.83358362160118</v>
      </c>
      <c r="K40" s="5">
        <f t="shared" si="37"/>
        <v>562.96552904368673</v>
      </c>
      <c r="L40" s="5">
        <f t="shared" si="37"/>
        <v>477.02013064758233</v>
      </c>
      <c r="M40" s="5">
        <f t="shared" si="37"/>
        <v>513.3155215270391</v>
      </c>
      <c r="N40" s="5">
        <f t="shared" si="15"/>
        <v>546.84224862779843</v>
      </c>
      <c r="O40" s="5">
        <f t="shared" si="15"/>
        <v>570.97167915480054</v>
      </c>
      <c r="P40" s="5">
        <f t="shared" si="15"/>
        <v>594.40115565336237</v>
      </c>
      <c r="Q40" s="5">
        <f t="shared" si="15"/>
        <v>560.6368919977499</v>
      </c>
      <c r="R40" s="5">
        <f t="shared" si="15"/>
        <v>565.61834507636979</v>
      </c>
      <c r="S40" s="5">
        <f t="shared" si="15"/>
        <v>409.27743103280136</v>
      </c>
      <c r="T40" s="5">
        <f t="shared" si="15"/>
        <v>399.59100184924336</v>
      </c>
      <c r="U40" s="5">
        <f t="shared" si="15"/>
        <v>477.04349489887937</v>
      </c>
      <c r="V40" s="5">
        <f t="shared" si="15"/>
        <v>442.28070778392737</v>
      </c>
      <c r="W40" s="5">
        <f t="shared" si="15"/>
        <v>416.67634970436404</v>
      </c>
      <c r="X40" s="5">
        <f t="shared" si="15"/>
        <v>434.03147016125655</v>
      </c>
      <c r="Y40" s="39">
        <f t="shared" si="16"/>
        <v>499.72452113089003</v>
      </c>
      <c r="Z40" s="39">
        <f t="shared" si="17"/>
        <v>488.47492132774869</v>
      </c>
      <c r="AA40" s="39">
        <f t="shared" si="17"/>
        <v>494.40657078534031</v>
      </c>
      <c r="AB40" s="39">
        <f t="shared" si="17"/>
        <v>490.50840187225128</v>
      </c>
      <c r="AC40" s="39">
        <f t="shared" si="17"/>
        <v>478.26664963350788</v>
      </c>
      <c r="AD40" s="39">
        <f t="shared" si="17"/>
        <v>470.67033718115181</v>
      </c>
      <c r="AE40" s="39">
        <f t="shared" si="17"/>
        <v>475.66366162931934</v>
      </c>
      <c r="AF40" s="39">
        <f t="shared" si="17"/>
        <v>470.03205023246073</v>
      </c>
      <c r="AG40" s="39">
        <f t="shared" si="17"/>
        <v>479.4804248670157</v>
      </c>
      <c r="AH40" s="39">
        <f t="shared" si="17"/>
        <v>452.448700148</v>
      </c>
      <c r="AI40" s="39">
        <f t="shared" si="17"/>
        <v>444.10567774799995</v>
      </c>
      <c r="AJ40" s="39">
        <f t="shared" si="17"/>
        <v>456.774188084</v>
      </c>
      <c r="AK40" s="39">
        <f t="shared" si="17"/>
        <v>467.44607449599999</v>
      </c>
      <c r="AL40" s="39">
        <f t="shared" si="17"/>
        <v>424.81313449599998</v>
      </c>
      <c r="AM40" s="39">
        <f t="shared" si="17"/>
        <v>450.38293204399997</v>
      </c>
      <c r="AN40" s="39">
        <f t="shared" si="17"/>
        <v>428.65577325199996</v>
      </c>
      <c r="AO40" s="39">
        <f t="shared" si="17"/>
        <v>439.55877489599999</v>
      </c>
      <c r="AP40" s="39">
        <f t="shared" si="18"/>
        <v>456.79283125199998</v>
      </c>
      <c r="AQ40" s="39">
        <f t="shared" si="18"/>
        <v>443.67349676800001</v>
      </c>
      <c r="AR40" s="39">
        <f t="shared" si="18"/>
        <v>466.72509842399995</v>
      </c>
      <c r="AS40" s="39">
        <f t="shared" si="19"/>
        <v>473.65823124400004</v>
      </c>
      <c r="AT40" s="39">
        <f t="shared" si="20"/>
        <v>354.88301735599998</v>
      </c>
      <c r="AU40" s="39">
        <f t="shared" si="21"/>
        <v>403.28624645599996</v>
      </c>
      <c r="AV40" s="39">
        <f t="shared" si="24"/>
        <v>465.72311003200002</v>
      </c>
      <c r="AW40" s="39">
        <f t="shared" si="25"/>
        <v>454.57251319599999</v>
      </c>
      <c r="AX40" s="39">
        <f t="shared" si="26"/>
        <v>418.22865689599996</v>
      </c>
      <c r="AY40" s="39">
        <f t="shared" si="27"/>
        <v>405.70103486399995</v>
      </c>
      <c r="AZ40" s="39">
        <f t="shared" si="28"/>
        <v>396.96090343200001</v>
      </c>
      <c r="BA40" s="39">
        <f t="shared" si="22"/>
        <v>332.5990304</v>
      </c>
      <c r="BB40" s="39">
        <f t="shared" si="22"/>
        <v>331.84799801999998</v>
      </c>
      <c r="BQ40">
        <f t="shared" si="2"/>
        <v>2000</v>
      </c>
      <c r="BR40" s="49">
        <v>248.33018456799999</v>
      </c>
      <c r="BS40" s="49">
        <v>107.995607224</v>
      </c>
      <c r="BT40" s="49">
        <v>26.023051040000002</v>
      </c>
      <c r="BU40" s="49">
        <v>79.318323851999992</v>
      </c>
      <c r="BV40" s="49">
        <v>251.9243376</v>
      </c>
      <c r="BW40" s="49">
        <v>52.926108060000004</v>
      </c>
      <c r="BX40" s="49">
        <v>134.34793673600001</v>
      </c>
      <c r="BY40" s="49">
        <v>555.82240193600001</v>
      </c>
      <c r="BZ40" s="49">
        <v>186.67535139199998</v>
      </c>
      <c r="CA40" s="49">
        <v>140.30935583999999</v>
      </c>
      <c r="CB40" s="49">
        <v>467.44607449599999</v>
      </c>
      <c r="CC40" s="49">
        <v>159.80022841600001</v>
      </c>
      <c r="CD40" s="49">
        <v>94.666874887999995</v>
      </c>
      <c r="CE40" s="49">
        <v>133.54378634</v>
      </c>
      <c r="CF40" s="49">
        <v>55.079076648000004</v>
      </c>
      <c r="CG40" s="49">
        <v>186.38836807199999</v>
      </c>
      <c r="CH40" s="49">
        <v>29.604579672</v>
      </c>
      <c r="CI40" s="49">
        <v>36.657630644000001</v>
      </c>
    </row>
    <row r="41" spans="6:87" x14ac:dyDescent="0.2">
      <c r="F41" t="s">
        <v>113</v>
      </c>
      <c r="G41" s="5">
        <f t="shared" ref="G41:M41" si="38">$Z19*G19</f>
        <v>88.207733644374215</v>
      </c>
      <c r="H41" s="5">
        <f t="shared" si="38"/>
        <v>85.11641875877983</v>
      </c>
      <c r="I41" s="5">
        <f t="shared" si="38"/>
        <v>89.536101378028846</v>
      </c>
      <c r="J41" s="5">
        <f t="shared" si="38"/>
        <v>95.312741402814737</v>
      </c>
      <c r="K41" s="5">
        <f t="shared" si="38"/>
        <v>93.567265093831494</v>
      </c>
      <c r="L41" s="5">
        <f t="shared" si="38"/>
        <v>91.456613034538748</v>
      </c>
      <c r="M41" s="5">
        <f t="shared" si="38"/>
        <v>96.333721148603033</v>
      </c>
      <c r="N41" s="5">
        <f t="shared" si="15"/>
        <v>98.450059104997237</v>
      </c>
      <c r="O41" s="5">
        <f t="shared" si="15"/>
        <v>99.68694956190491</v>
      </c>
      <c r="P41" s="5">
        <f t="shared" si="15"/>
        <v>100.54861346665994</v>
      </c>
      <c r="Q41" s="5">
        <f t="shared" si="15"/>
        <v>98.257936313930443</v>
      </c>
      <c r="R41" s="5">
        <f t="shared" si="15"/>
        <v>98.168027240306643</v>
      </c>
      <c r="S41" s="5">
        <f t="shared" si="15"/>
        <v>98.27917660387196</v>
      </c>
      <c r="T41" s="5">
        <f t="shared" si="15"/>
        <v>93.823028041871936</v>
      </c>
      <c r="U41" s="5">
        <f t="shared" si="15"/>
        <v>103.75610658890153</v>
      </c>
      <c r="V41" s="5">
        <f t="shared" si="15"/>
        <v>101.88131778091361</v>
      </c>
      <c r="W41" s="5">
        <f t="shared" si="15"/>
        <v>98.889662395434385</v>
      </c>
      <c r="X41" s="5">
        <f t="shared" si="15"/>
        <v>111.79253633733873</v>
      </c>
      <c r="Y41" s="39">
        <f t="shared" si="16"/>
        <v>118.75029238507044</v>
      </c>
      <c r="Z41" s="39">
        <f t="shared" si="17"/>
        <v>120.58309233333516</v>
      </c>
      <c r="AA41" s="39">
        <f t="shared" si="17"/>
        <v>120.9145451690495</v>
      </c>
      <c r="AB41" s="39">
        <f t="shared" si="17"/>
        <v>118.55444953613846</v>
      </c>
      <c r="AC41" s="39">
        <f t="shared" si="17"/>
        <v>114.50817795082392</v>
      </c>
      <c r="AD41" s="39">
        <f t="shared" si="17"/>
        <v>121.96741559942353</v>
      </c>
      <c r="AE41" s="39">
        <f t="shared" si="17"/>
        <v>123.24366390142647</v>
      </c>
      <c r="AF41" s="39">
        <f t="shared" si="17"/>
        <v>130.09231242172157</v>
      </c>
      <c r="AG41" s="39">
        <f t="shared" si="17"/>
        <v>135.3525343201872</v>
      </c>
      <c r="AH41" s="39">
        <f t="shared" si="17"/>
        <v>141.63235883999999</v>
      </c>
      <c r="AI41" s="39">
        <f t="shared" si="17"/>
        <v>145.711790396</v>
      </c>
      <c r="AJ41" s="39">
        <f t="shared" si="17"/>
        <v>154.172833876</v>
      </c>
      <c r="AK41" s="39">
        <f t="shared" si="17"/>
        <v>159.80022841600001</v>
      </c>
      <c r="AL41" s="39">
        <f t="shared" si="17"/>
        <v>156.85912877199999</v>
      </c>
      <c r="AM41" s="39">
        <f t="shared" si="17"/>
        <v>139.449968576</v>
      </c>
      <c r="AN41" s="39">
        <f t="shared" si="17"/>
        <v>144.44251274799998</v>
      </c>
      <c r="AO41" s="39">
        <f t="shared" si="17"/>
        <v>168.11313650400001</v>
      </c>
      <c r="AP41" s="39">
        <f t="shared" si="18"/>
        <v>180.60769625599997</v>
      </c>
      <c r="AQ41" s="39">
        <f t="shared" si="18"/>
        <v>179.19403641600002</v>
      </c>
      <c r="AR41" s="39">
        <f t="shared" si="18"/>
        <v>162.483268264</v>
      </c>
      <c r="AS41" s="39">
        <f t="shared" si="19"/>
        <v>166.160735512</v>
      </c>
      <c r="AT41" s="39">
        <f t="shared" si="20"/>
        <v>128.06374925599999</v>
      </c>
      <c r="AU41" s="39">
        <f t="shared" si="21"/>
        <v>135.48137584</v>
      </c>
      <c r="AV41" s="39">
        <f t="shared" si="24"/>
        <v>148.81893502</v>
      </c>
      <c r="AW41" s="39">
        <f t="shared" si="25"/>
        <v>141.51061867999999</v>
      </c>
      <c r="AX41" s="39">
        <f t="shared" si="26"/>
        <v>146.36505874000002</v>
      </c>
      <c r="AY41" s="39">
        <f t="shared" si="27"/>
        <v>149.814583916</v>
      </c>
      <c r="AZ41" s="39">
        <f t="shared" si="28"/>
        <v>147.86258895199998</v>
      </c>
      <c r="BA41" s="39">
        <f t="shared" si="22"/>
        <v>143.28888484000001</v>
      </c>
      <c r="BB41" s="39">
        <f t="shared" si="22"/>
        <v>136.667445044</v>
      </c>
      <c r="BQ41">
        <f t="shared" si="2"/>
        <v>2001</v>
      </c>
      <c r="BR41" s="49">
        <v>266.44860061600002</v>
      </c>
      <c r="BS41" s="49">
        <v>102.389694636</v>
      </c>
      <c r="BT41" s="49">
        <v>24.252731428000001</v>
      </c>
      <c r="BU41" s="49">
        <v>74.650090280000001</v>
      </c>
      <c r="BV41" s="49">
        <v>247.14786856399999</v>
      </c>
      <c r="BW41" s="49">
        <v>52.071531715999996</v>
      </c>
      <c r="BX41" s="49">
        <v>141.62263805199999</v>
      </c>
      <c r="BY41" s="49">
        <v>518.00046382400001</v>
      </c>
      <c r="BZ41" s="49">
        <v>188.27252565200001</v>
      </c>
      <c r="CA41" s="49">
        <v>140.31999104400001</v>
      </c>
      <c r="CB41" s="49">
        <v>424.81313449599998</v>
      </c>
      <c r="CC41" s="49">
        <v>156.85912877199999</v>
      </c>
      <c r="CD41" s="49">
        <v>92.647602108000001</v>
      </c>
      <c r="CE41" s="49">
        <v>128.93979731600001</v>
      </c>
      <c r="CF41" s="49">
        <v>52.979321611999993</v>
      </c>
      <c r="CG41" s="49">
        <v>189.42251977999999</v>
      </c>
      <c r="CH41" s="49">
        <v>27.776730327999999</v>
      </c>
      <c r="CI41" s="49">
        <v>37.375102591999998</v>
      </c>
    </row>
    <row r="42" spans="6:87" x14ac:dyDescent="0.2">
      <c r="F42" t="s">
        <v>114</v>
      </c>
      <c r="G42" s="5">
        <f t="shared" ref="G42:M42" si="39">$Z20*G20</f>
        <v>49.146771419212747</v>
      </c>
      <c r="H42" s="5">
        <f t="shared" si="39"/>
        <v>50.672480361975495</v>
      </c>
      <c r="I42" s="5">
        <f t="shared" si="39"/>
        <v>54.494863556225191</v>
      </c>
      <c r="J42" s="5">
        <f t="shared" si="39"/>
        <v>59.995842783381313</v>
      </c>
      <c r="K42" s="5">
        <f t="shared" si="39"/>
        <v>59.090472386854145</v>
      </c>
      <c r="L42" s="5">
        <f t="shared" si="39"/>
        <v>62.476829897752097</v>
      </c>
      <c r="M42" s="5">
        <f t="shared" si="39"/>
        <v>64.285047980263272</v>
      </c>
      <c r="N42" s="5">
        <f t="shared" si="15"/>
        <v>65.89501569794686</v>
      </c>
      <c r="O42" s="5">
        <f t="shared" si="15"/>
        <v>69.255618510796182</v>
      </c>
      <c r="P42" s="5">
        <f t="shared" si="15"/>
        <v>68.944876451337223</v>
      </c>
      <c r="Q42" s="5">
        <f t="shared" si="15"/>
        <v>67.657653162344744</v>
      </c>
      <c r="R42" s="5">
        <f t="shared" si="15"/>
        <v>70.539359324951576</v>
      </c>
      <c r="S42" s="5">
        <f t="shared" si="15"/>
        <v>65.858556139703268</v>
      </c>
      <c r="T42" s="5">
        <f t="shared" si="15"/>
        <v>60.37462341613103</v>
      </c>
      <c r="U42" s="5">
        <f t="shared" si="15"/>
        <v>66.269951701626596</v>
      </c>
      <c r="V42" s="5">
        <f t="shared" si="15"/>
        <v>65.617783639784349</v>
      </c>
      <c r="W42" s="5">
        <f t="shared" si="15"/>
        <v>64.832173576690579</v>
      </c>
      <c r="X42" s="5">
        <f t="shared" si="15"/>
        <v>75.036505038745617</v>
      </c>
      <c r="Y42" s="39">
        <f t="shared" si="16"/>
        <v>77.692193284222668</v>
      </c>
      <c r="Z42" s="39">
        <f t="shared" si="17"/>
        <v>82.222593006052819</v>
      </c>
      <c r="AA42" s="39">
        <f t="shared" si="17"/>
        <v>83.868091472972651</v>
      </c>
      <c r="AB42" s="39">
        <f t="shared" si="17"/>
        <v>82.396721447131014</v>
      </c>
      <c r="AC42" s="39">
        <f t="shared" si="17"/>
        <v>76.935392520099057</v>
      </c>
      <c r="AD42" s="39">
        <f t="shared" si="17"/>
        <v>80.611369381665114</v>
      </c>
      <c r="AE42" s="39">
        <f t="shared" si="17"/>
        <v>85.185224707419891</v>
      </c>
      <c r="AF42" s="39">
        <f t="shared" si="17"/>
        <v>86.617117459273658</v>
      </c>
      <c r="AG42" s="39">
        <f t="shared" si="17"/>
        <v>87.864782932517485</v>
      </c>
      <c r="AH42" s="39">
        <f t="shared" si="17"/>
        <v>91.946374692000006</v>
      </c>
      <c r="AI42" s="39">
        <f t="shared" si="17"/>
        <v>92.773699392000012</v>
      </c>
      <c r="AJ42" s="39">
        <f t="shared" si="17"/>
        <v>90.795930179999999</v>
      </c>
      <c r="AK42" s="39">
        <f t="shared" si="17"/>
        <v>94.666874887999995</v>
      </c>
      <c r="AL42" s="39">
        <f t="shared" si="17"/>
        <v>92.647602108000001</v>
      </c>
      <c r="AM42" s="39">
        <f t="shared" si="17"/>
        <v>82.569779015999998</v>
      </c>
      <c r="AN42" s="39">
        <f t="shared" si="17"/>
        <v>82.280649548</v>
      </c>
      <c r="AO42" s="39">
        <f t="shared" si="17"/>
        <v>96.618532063999993</v>
      </c>
      <c r="AP42" s="39">
        <f t="shared" si="18"/>
        <v>103.62875561200001</v>
      </c>
      <c r="AQ42" s="39">
        <f t="shared" si="18"/>
        <v>106.736016244</v>
      </c>
      <c r="AR42" s="39">
        <f t="shared" si="18"/>
        <v>105.377490912</v>
      </c>
      <c r="AS42" s="39">
        <f t="shared" si="19"/>
        <v>102.92644659199999</v>
      </c>
      <c r="AT42" s="39">
        <f t="shared" si="20"/>
        <v>80.589184668000001</v>
      </c>
      <c r="AU42" s="39">
        <f t="shared" si="21"/>
        <v>80.164175712000002</v>
      </c>
      <c r="AV42" s="39">
        <f t="shared" si="24"/>
        <v>88.023710887999997</v>
      </c>
      <c r="AW42" s="39">
        <f t="shared" si="25"/>
        <v>83.639372775999988</v>
      </c>
      <c r="AX42" s="39">
        <f t="shared" si="26"/>
        <v>85.032806280000003</v>
      </c>
      <c r="AY42" s="39">
        <f t="shared" si="27"/>
        <v>87.051430780000004</v>
      </c>
      <c r="AZ42" s="39">
        <f t="shared" si="28"/>
        <v>84.493259895999998</v>
      </c>
      <c r="BA42" s="39">
        <f t="shared" si="22"/>
        <v>83.189463043999993</v>
      </c>
      <c r="BB42" s="39">
        <f t="shared" si="22"/>
        <v>80.275877767999987</v>
      </c>
      <c r="BQ42">
        <f t="shared" si="2"/>
        <v>2002</v>
      </c>
      <c r="BR42" s="49">
        <v>257.77662047199999</v>
      </c>
      <c r="BS42" s="49">
        <v>97.014695971999998</v>
      </c>
      <c r="BT42" s="49">
        <v>13.151792839999999</v>
      </c>
      <c r="BU42" s="49">
        <v>74.759141212000003</v>
      </c>
      <c r="BV42" s="49">
        <v>243.73968318000001</v>
      </c>
      <c r="BW42" s="49">
        <v>50.270889659999995</v>
      </c>
      <c r="BX42" s="49">
        <v>133.38386248799998</v>
      </c>
      <c r="BY42" s="49">
        <v>505.95882659999995</v>
      </c>
      <c r="BZ42" s="49">
        <v>184.49908566799999</v>
      </c>
      <c r="CA42" s="49">
        <v>139.16903131999999</v>
      </c>
      <c r="CB42" s="49">
        <v>450.38293204399997</v>
      </c>
      <c r="CC42" s="49">
        <v>139.449968576</v>
      </c>
      <c r="CD42" s="49">
        <v>82.569779015999998</v>
      </c>
      <c r="CE42" s="49">
        <v>111.118071728</v>
      </c>
      <c r="CF42" s="49">
        <v>47.035614199999998</v>
      </c>
      <c r="CG42" s="49">
        <v>181.823920716</v>
      </c>
      <c r="CH42" s="49">
        <v>27.030744296000002</v>
      </c>
      <c r="CI42" s="49">
        <v>35.271246332000004</v>
      </c>
    </row>
    <row r="43" spans="6:87" x14ac:dyDescent="0.2">
      <c r="F43" t="s">
        <v>115</v>
      </c>
      <c r="G43" s="5">
        <f t="shared" ref="G43:M43" si="40">$Z21*G21</f>
        <v>55.768804756254276</v>
      </c>
      <c r="H43" s="5">
        <f t="shared" si="40"/>
        <v>56.157957193533868</v>
      </c>
      <c r="I43" s="5">
        <f t="shared" si="40"/>
        <v>60.018130936339354</v>
      </c>
      <c r="J43" s="5">
        <f t="shared" si="40"/>
        <v>63.023316795133937</v>
      </c>
      <c r="K43" s="5">
        <f t="shared" si="40"/>
        <v>59.624570698434098</v>
      </c>
      <c r="L43" s="5">
        <f t="shared" si="40"/>
        <v>61.063698296722293</v>
      </c>
      <c r="M43" s="5">
        <f t="shared" si="40"/>
        <v>60.338488977250819</v>
      </c>
      <c r="N43" s="5">
        <f t="shared" si="15"/>
        <v>62.768469320083639</v>
      </c>
      <c r="O43" s="5">
        <f t="shared" si="15"/>
        <v>66.83112026826484</v>
      </c>
      <c r="P43" s="5">
        <f t="shared" si="15"/>
        <v>71.80496186305507</v>
      </c>
      <c r="Q43" s="5">
        <f t="shared" si="15"/>
        <v>76.722165922369328</v>
      </c>
      <c r="R43" s="5">
        <f t="shared" si="15"/>
        <v>82.038856225600497</v>
      </c>
      <c r="S43" s="5">
        <f t="shared" si="15"/>
        <v>87.574955762683544</v>
      </c>
      <c r="T43" s="5">
        <f t="shared" si="15"/>
        <v>91.804424701552975</v>
      </c>
      <c r="U43" s="5">
        <f t="shared" si="15"/>
        <v>99.624101734044345</v>
      </c>
      <c r="V43" s="5">
        <f t="shared" si="15"/>
        <v>105.43131708009108</v>
      </c>
      <c r="W43" s="5">
        <f t="shared" si="15"/>
        <v>110.14540497741316</v>
      </c>
      <c r="X43" s="5">
        <f t="shared" si="15"/>
        <v>117.30317472933524</v>
      </c>
      <c r="Y43" s="39">
        <f t="shared" si="16"/>
        <v>120.097983423326</v>
      </c>
      <c r="Z43" s="39">
        <f t="shared" si="17"/>
        <v>123.33101691991858</v>
      </c>
      <c r="AA43" s="39">
        <f t="shared" si="17"/>
        <v>126.73288702710265</v>
      </c>
      <c r="AB43" s="39">
        <f t="shared" si="17"/>
        <v>125.49737823004109</v>
      </c>
      <c r="AC43" s="39">
        <f t="shared" si="17"/>
        <v>121.64152523659999</v>
      </c>
      <c r="AD43" s="39">
        <f t="shared" si="17"/>
        <v>123.37528963114035</v>
      </c>
      <c r="AE43" s="39">
        <f t="shared" si="17"/>
        <v>124.94734607198089</v>
      </c>
      <c r="AF43" s="39">
        <f t="shared" si="17"/>
        <v>125.59605384912012</v>
      </c>
      <c r="AG43" s="39">
        <f t="shared" si="17"/>
        <v>126.7992960939353</v>
      </c>
      <c r="AH43" s="39">
        <f t="shared" si="17"/>
        <v>128.99854854399999</v>
      </c>
      <c r="AI43" s="39">
        <f t="shared" si="17"/>
        <v>127.959284052</v>
      </c>
      <c r="AJ43" s="39">
        <f t="shared" si="17"/>
        <v>123.546483036</v>
      </c>
      <c r="AK43" s="39">
        <f t="shared" si="17"/>
        <v>133.54378634</v>
      </c>
      <c r="AL43" s="39">
        <f t="shared" si="17"/>
        <v>128.93979731600001</v>
      </c>
      <c r="AM43" s="39">
        <f t="shared" si="17"/>
        <v>111.118071728</v>
      </c>
      <c r="AN43" s="39">
        <f t="shared" si="17"/>
        <v>112.69819281199999</v>
      </c>
      <c r="AO43" s="39">
        <f t="shared" si="17"/>
        <v>116.681218308</v>
      </c>
      <c r="AP43" s="39">
        <f t="shared" si="18"/>
        <v>116.74021861200001</v>
      </c>
      <c r="AQ43" s="39">
        <f t="shared" si="18"/>
        <v>117.602925752</v>
      </c>
      <c r="AR43" s="39">
        <f t="shared" si="18"/>
        <v>115.96706964800001</v>
      </c>
      <c r="AS43" s="39">
        <f t="shared" si="19"/>
        <v>114.43627584799999</v>
      </c>
      <c r="AT43" s="39">
        <f t="shared" si="20"/>
        <v>100.66183054</v>
      </c>
      <c r="AU43" s="39">
        <f t="shared" si="21"/>
        <v>94.309365528000001</v>
      </c>
      <c r="AV43" s="39">
        <f t="shared" si="24"/>
        <v>94.879961112000004</v>
      </c>
      <c r="AW43" s="39">
        <f t="shared" si="25"/>
        <v>141.09177179600002</v>
      </c>
      <c r="AX43" s="39">
        <f t="shared" si="26"/>
        <v>126.094001656</v>
      </c>
      <c r="AY43" s="39">
        <f t="shared" si="27"/>
        <v>150.502760432</v>
      </c>
      <c r="AZ43" s="39">
        <f t="shared" si="28"/>
        <v>161.45564210399999</v>
      </c>
      <c r="BA43" s="39">
        <f t="shared" si="22"/>
        <v>165.44328744799998</v>
      </c>
      <c r="BB43" s="39">
        <f t="shared" si="22"/>
        <v>161.63330153200002</v>
      </c>
      <c r="BQ43">
        <f t="shared" si="2"/>
        <v>2003</v>
      </c>
      <c r="BR43" s="49">
        <v>255.32842858399999</v>
      </c>
      <c r="BS43" s="49">
        <v>95.164583328000006</v>
      </c>
      <c r="BT43" s="49">
        <v>12.522558623999998</v>
      </c>
      <c r="BU43" s="49">
        <v>78.270293932000001</v>
      </c>
      <c r="BV43" s="49">
        <v>244.92814419599998</v>
      </c>
      <c r="BW43" s="49">
        <v>51.488345851999995</v>
      </c>
      <c r="BX43" s="49">
        <v>136.040435452</v>
      </c>
      <c r="BY43" s="49">
        <v>541.32503912800007</v>
      </c>
      <c r="BZ43" s="49">
        <v>189.65162875599998</v>
      </c>
      <c r="CA43" s="49">
        <v>139.718660164</v>
      </c>
      <c r="CB43" s="49">
        <v>428.65577325199996</v>
      </c>
      <c r="CC43" s="49">
        <v>144.44251274799998</v>
      </c>
      <c r="CD43" s="49">
        <v>82.280649548</v>
      </c>
      <c r="CE43" s="49">
        <v>112.69819281199999</v>
      </c>
      <c r="CF43" s="49">
        <v>46.385491719999997</v>
      </c>
      <c r="CG43" s="49">
        <v>178.301098956</v>
      </c>
      <c r="CH43" s="49">
        <v>27.583007204000001</v>
      </c>
      <c r="CI43" s="49">
        <v>36.568011052000003</v>
      </c>
    </row>
    <row r="44" spans="6:87" x14ac:dyDescent="0.2">
      <c r="F44" t="s">
        <v>116</v>
      </c>
      <c r="G44" s="5">
        <f t="shared" ref="G44:M44" si="41">$Z22*G22</f>
        <v>42.736834095881441</v>
      </c>
      <c r="H44" s="5">
        <f t="shared" si="41"/>
        <v>41.995861907408873</v>
      </c>
      <c r="I44" s="5">
        <f t="shared" si="41"/>
        <v>45.057180980695868</v>
      </c>
      <c r="J44" s="5">
        <f t="shared" si="41"/>
        <v>48.615364691617302</v>
      </c>
      <c r="K44" s="5">
        <f t="shared" si="41"/>
        <v>47.215931861924567</v>
      </c>
      <c r="L44" s="5">
        <f t="shared" si="41"/>
        <v>44.298578464270889</v>
      </c>
      <c r="M44" s="5">
        <f t="shared" si="41"/>
        <v>44.572779783199536</v>
      </c>
      <c r="N44" s="5">
        <f t="shared" si="15"/>
        <v>47.430719507533297</v>
      </c>
      <c r="O44" s="5">
        <f t="shared" si="15"/>
        <v>49.574142426015122</v>
      </c>
      <c r="P44" s="5">
        <f t="shared" si="15"/>
        <v>51.059900570314859</v>
      </c>
      <c r="Q44" s="5">
        <f t="shared" si="15"/>
        <v>48.015074997710698</v>
      </c>
      <c r="R44" s="5">
        <f t="shared" si="15"/>
        <v>47.519846717161876</v>
      </c>
      <c r="S44" s="5">
        <f t="shared" si="15"/>
        <v>48.285332079830781</v>
      </c>
      <c r="T44" s="5">
        <f t="shared" si="15"/>
        <v>48.39489167539756</v>
      </c>
      <c r="U44" s="5">
        <f t="shared" si="15"/>
        <v>51.312498489490061</v>
      </c>
      <c r="V44" s="5">
        <f t="shared" si="15"/>
        <v>49.021047347800362</v>
      </c>
      <c r="W44" s="5">
        <f t="shared" si="15"/>
        <v>49.843814070592941</v>
      </c>
      <c r="X44" s="5">
        <f t="shared" si="15"/>
        <v>51.594232792454768</v>
      </c>
      <c r="Y44" s="39">
        <f t="shared" si="16"/>
        <v>53.163690091160618</v>
      </c>
      <c r="Z44" s="39">
        <f t="shared" si="17"/>
        <v>53.39730074266356</v>
      </c>
      <c r="AA44" s="39">
        <f t="shared" si="17"/>
        <v>53.927901631120662</v>
      </c>
      <c r="AB44" s="39">
        <f t="shared" si="17"/>
        <v>51.473161533067156</v>
      </c>
      <c r="AC44" s="39">
        <f t="shared" si="17"/>
        <v>49.12202268046277</v>
      </c>
      <c r="AD44" s="39">
        <f t="shared" si="17"/>
        <v>51.668175642147865</v>
      </c>
      <c r="AE44" s="39">
        <f t="shared" si="17"/>
        <v>52.586367072402908</v>
      </c>
      <c r="AF44" s="39">
        <f t="shared" si="17"/>
        <v>53.684133994769773</v>
      </c>
      <c r="AG44" s="39">
        <f t="shared" si="17"/>
        <v>53.999000525056346</v>
      </c>
      <c r="AH44" s="39">
        <f t="shared" si="17"/>
        <v>56.083009879999999</v>
      </c>
      <c r="AI44" s="39">
        <f t="shared" si="17"/>
        <v>55.019660080000001</v>
      </c>
      <c r="AJ44" s="39">
        <f t="shared" si="17"/>
        <v>54.704630119999997</v>
      </c>
      <c r="AK44" s="39">
        <f t="shared" si="17"/>
        <v>55.079076648000004</v>
      </c>
      <c r="AL44" s="39">
        <f t="shared" si="17"/>
        <v>52.979321611999993</v>
      </c>
      <c r="AM44" s="39">
        <f t="shared" si="17"/>
        <v>47.035614199999998</v>
      </c>
      <c r="AN44" s="39">
        <f t="shared" si="17"/>
        <v>46.385491719999997</v>
      </c>
      <c r="AO44" s="39">
        <f t="shared" si="17"/>
        <v>48.922020288000006</v>
      </c>
      <c r="AP44" s="39">
        <f t="shared" si="18"/>
        <v>51.191931763999996</v>
      </c>
      <c r="AQ44" s="39">
        <f t="shared" si="18"/>
        <v>51.663726063999995</v>
      </c>
      <c r="AR44" s="39">
        <f t="shared" si="18"/>
        <v>52.612490668</v>
      </c>
      <c r="AS44" s="39">
        <f t="shared" si="19"/>
        <v>50.072976600000004</v>
      </c>
      <c r="AT44" s="39">
        <f t="shared" si="20"/>
        <v>39.156026699999998</v>
      </c>
      <c r="AU44" s="39">
        <f t="shared" si="21"/>
        <v>39.913531644000003</v>
      </c>
      <c r="AV44" s="39">
        <f t="shared" si="24"/>
        <v>43.524294291999993</v>
      </c>
      <c r="AW44" s="39">
        <f t="shared" si="25"/>
        <v>42.068765799999994</v>
      </c>
      <c r="AX44" s="39">
        <f t="shared" si="26"/>
        <v>38.609277583999997</v>
      </c>
      <c r="AY44" s="39">
        <f t="shared" si="27"/>
        <v>36.611210383999996</v>
      </c>
      <c r="AZ44" s="39">
        <f t="shared" si="28"/>
        <v>36.592806056000001</v>
      </c>
      <c r="BA44" s="39">
        <f t="shared" si="22"/>
        <v>34.956301671999995</v>
      </c>
      <c r="BB44" s="39">
        <f t="shared" si="22"/>
        <v>32.039222507999995</v>
      </c>
      <c r="BQ44">
        <f t="shared" si="2"/>
        <v>2004</v>
      </c>
      <c r="BR44" s="49">
        <v>287.10198594799999</v>
      </c>
      <c r="BS44" s="49">
        <v>94.700360255999996</v>
      </c>
      <c r="BT44" s="49">
        <v>15.189756556000001</v>
      </c>
      <c r="BU44" s="49">
        <v>90.253432415999995</v>
      </c>
      <c r="BV44" s="49">
        <v>252.8525722</v>
      </c>
      <c r="BW44" s="49">
        <v>59.880651180000001</v>
      </c>
      <c r="BX44" s="49">
        <v>146.70073129999997</v>
      </c>
      <c r="BY44" s="49">
        <v>534.51343151200001</v>
      </c>
      <c r="BZ44" s="49">
        <v>216.57722544799998</v>
      </c>
      <c r="CA44" s="49">
        <v>151.96005633999999</v>
      </c>
      <c r="CB44" s="49">
        <v>439.55877489599999</v>
      </c>
      <c r="CC44" s="49">
        <v>168.11313650400001</v>
      </c>
      <c r="CD44" s="49">
        <v>96.618532063999993</v>
      </c>
      <c r="CE44" s="49">
        <v>116.681218308</v>
      </c>
      <c r="CF44" s="49">
        <v>48.922020288000006</v>
      </c>
      <c r="CG44" s="49">
        <v>192.51036271999999</v>
      </c>
      <c r="CH44" s="49">
        <v>33.419383331999995</v>
      </c>
      <c r="CI44" s="49">
        <v>43.772309159999999</v>
      </c>
    </row>
    <row r="45" spans="6:87" x14ac:dyDescent="0.2">
      <c r="F45" t="s">
        <v>117</v>
      </c>
      <c r="G45" s="5">
        <f t="shared" ref="G45:M45" si="42">$Z23*G23</f>
        <v>108.45534171392897</v>
      </c>
      <c r="H45" s="5">
        <f t="shared" si="42"/>
        <v>113.63216523814549</v>
      </c>
      <c r="I45" s="5">
        <f t="shared" si="42"/>
        <v>117.52319894989643</v>
      </c>
      <c r="J45" s="5">
        <f t="shared" si="42"/>
        <v>126.65495057620718</v>
      </c>
      <c r="K45" s="5">
        <f t="shared" si="42"/>
        <v>111.76929889391631</v>
      </c>
      <c r="L45" s="5">
        <f t="shared" si="42"/>
        <v>109.36353827720538</v>
      </c>
      <c r="M45" s="5">
        <f t="shared" si="42"/>
        <v>116.60003904808401</v>
      </c>
      <c r="N45" s="5">
        <f t="shared" si="15"/>
        <v>122.08421943882026</v>
      </c>
      <c r="O45" s="5">
        <f t="shared" si="15"/>
        <v>123.61164856516096</v>
      </c>
      <c r="P45" s="5">
        <f t="shared" si="15"/>
        <v>123.45790824378136</v>
      </c>
      <c r="Q45" s="5">
        <f t="shared" si="15"/>
        <v>115.87371521980836</v>
      </c>
      <c r="R45" s="5">
        <f t="shared" si="15"/>
        <v>116.16068263250745</v>
      </c>
      <c r="S45" s="5">
        <f t="shared" si="15"/>
        <v>111.13395505936607</v>
      </c>
      <c r="T45" s="5">
        <f t="shared" si="15"/>
        <v>118.48834823482299</v>
      </c>
      <c r="U45" s="5">
        <f t="shared" si="15"/>
        <v>138.40793909185925</v>
      </c>
      <c r="V45" s="5">
        <f t="shared" si="15"/>
        <v>133.44202150333211</v>
      </c>
      <c r="W45" s="5">
        <f t="shared" si="15"/>
        <v>137.93991163514653</v>
      </c>
      <c r="X45" s="5">
        <f t="shared" si="15"/>
        <v>148.48101866152217</v>
      </c>
      <c r="Y45" s="39">
        <f t="shared" si="16"/>
        <v>154.05119390842597</v>
      </c>
      <c r="Z45" s="39">
        <f t="shared" si="17"/>
        <v>152.37196480633253</v>
      </c>
      <c r="AA45" s="39">
        <f t="shared" si="17"/>
        <v>153.23725770984589</v>
      </c>
      <c r="AB45" s="39">
        <f t="shared" si="17"/>
        <v>146.74468901249639</v>
      </c>
      <c r="AC45" s="39">
        <f t="shared" si="17"/>
        <v>151.69351570431976</v>
      </c>
      <c r="AD45" s="39">
        <f t="shared" si="17"/>
        <v>158.65707944559645</v>
      </c>
      <c r="AE45" s="39">
        <f t="shared" si="17"/>
        <v>162.54126812923144</v>
      </c>
      <c r="AF45" s="39">
        <f t="shared" si="17"/>
        <v>165.69294802145021</v>
      </c>
      <c r="AG45" s="39">
        <f t="shared" si="17"/>
        <v>164.64250068173021</v>
      </c>
      <c r="AH45" s="39">
        <f t="shared" si="17"/>
        <v>181.49709206</v>
      </c>
      <c r="AI45" s="39">
        <f t="shared" si="17"/>
        <v>175.71835826</v>
      </c>
      <c r="AJ45" s="39">
        <f t="shared" si="17"/>
        <v>181.08791137200001</v>
      </c>
      <c r="AK45" s="39">
        <f t="shared" si="17"/>
        <v>186.38836807199999</v>
      </c>
      <c r="AL45" s="39">
        <f t="shared" si="17"/>
        <v>189.42251977999999</v>
      </c>
      <c r="AM45" s="39">
        <f t="shared" si="17"/>
        <v>181.823920716</v>
      </c>
      <c r="AN45" s="39">
        <f t="shared" si="17"/>
        <v>178.301098956</v>
      </c>
      <c r="AO45" s="39">
        <f t="shared" ref="AO45:AR47" si="43">AS23</f>
        <v>192.51036271999999</v>
      </c>
      <c r="AP45" s="39">
        <f t="shared" si="18"/>
        <v>196.24766279999997</v>
      </c>
      <c r="AQ45" s="39">
        <f t="shared" si="18"/>
        <v>189.979061336</v>
      </c>
      <c r="AR45" s="39">
        <f t="shared" si="18"/>
        <v>194.72188122799997</v>
      </c>
      <c r="AS45" s="39">
        <f t="shared" si="19"/>
        <v>189.70901518399998</v>
      </c>
      <c r="AT45" s="39">
        <f t="shared" si="20"/>
        <v>149.042844108</v>
      </c>
      <c r="AU45" s="39">
        <f t="shared" si="21"/>
        <v>176.70813510400001</v>
      </c>
      <c r="AV45" s="39">
        <f t="shared" si="24"/>
        <v>197.729702532</v>
      </c>
      <c r="AW45" s="39">
        <f t="shared" si="25"/>
        <v>195.46619537999999</v>
      </c>
      <c r="AX45" s="39">
        <f t="shared" si="26"/>
        <v>194.855908</v>
      </c>
      <c r="AY45" s="39">
        <f t="shared" si="27"/>
        <v>199.433143532</v>
      </c>
      <c r="AZ45" s="39">
        <f t="shared" si="28"/>
        <v>208.29709303199999</v>
      </c>
      <c r="BA45" s="39">
        <f t="shared" si="22"/>
        <v>214.03997353599999</v>
      </c>
      <c r="BB45" s="39">
        <f t="shared" si="22"/>
        <v>199.60534375999998</v>
      </c>
      <c r="BQ45">
        <f t="shared" si="2"/>
        <v>2005</v>
      </c>
      <c r="BR45" s="49">
        <v>300.75193419999994</v>
      </c>
      <c r="BS45" s="49">
        <v>92.424099048000002</v>
      </c>
      <c r="BT45" s="49">
        <v>14.870621959999999</v>
      </c>
      <c r="BU45" s="49">
        <v>95.464392355999991</v>
      </c>
      <c r="BV45" s="49">
        <v>256.52020947599999</v>
      </c>
      <c r="BW45" s="49">
        <v>61.317075883999998</v>
      </c>
      <c r="BX45" s="49">
        <v>167.58738483599998</v>
      </c>
      <c r="BY45" s="49">
        <v>521.76233371599994</v>
      </c>
      <c r="BZ45" s="49">
        <v>223.40631956399997</v>
      </c>
      <c r="CA45" s="49">
        <v>158.331884452</v>
      </c>
      <c r="CB45" s="49">
        <v>456.79283125199998</v>
      </c>
      <c r="CC45" s="49">
        <v>180.60769625599997</v>
      </c>
      <c r="CD45" s="49">
        <v>103.62875561200001</v>
      </c>
      <c r="CE45" s="49">
        <v>116.74021861200001</v>
      </c>
      <c r="CF45" s="49">
        <v>51.191931763999996</v>
      </c>
      <c r="CG45" s="49">
        <v>196.24766279999997</v>
      </c>
      <c r="CH45" s="49">
        <v>33.400091883999998</v>
      </c>
      <c r="CI45" s="49">
        <v>44.576063763999997</v>
      </c>
    </row>
    <row r="46" spans="6:87" x14ac:dyDescent="0.2">
      <c r="F46" t="s">
        <v>118</v>
      </c>
      <c r="G46" s="5">
        <f t="shared" ref="G46:M46" si="44">$Z24*G24</f>
        <v>12.44405467911435</v>
      </c>
      <c r="H46" s="5">
        <f t="shared" si="44"/>
        <v>12.336058878660573</v>
      </c>
      <c r="I46" s="5">
        <f t="shared" si="44"/>
        <v>12.731387038245137</v>
      </c>
      <c r="J46" s="5">
        <f t="shared" si="44"/>
        <v>13.986013375658354</v>
      </c>
      <c r="K46" s="5">
        <f t="shared" si="44"/>
        <v>14.820557030777211</v>
      </c>
      <c r="L46" s="5">
        <f t="shared" si="44"/>
        <v>14.3946598811398</v>
      </c>
      <c r="M46" s="5">
        <f t="shared" si="44"/>
        <v>14.682192626123481</v>
      </c>
      <c r="N46" s="5">
        <f t="shared" ref="N46:X47" si="45">$Z24*N24</f>
        <v>15.484543619761297</v>
      </c>
      <c r="O46" s="5">
        <f t="shared" si="45"/>
        <v>15.674755031924223</v>
      </c>
      <c r="P46" s="5">
        <f t="shared" si="45"/>
        <v>14.899658795801846</v>
      </c>
      <c r="Q46" s="5">
        <f t="shared" si="45"/>
        <v>14.599259313499147</v>
      </c>
      <c r="R46" s="5">
        <f t="shared" si="45"/>
        <v>15.055654728339254</v>
      </c>
      <c r="S46" s="5">
        <f t="shared" si="45"/>
        <v>14.591748829131578</v>
      </c>
      <c r="T46" s="5">
        <f t="shared" si="45"/>
        <v>15.657903048161847</v>
      </c>
      <c r="U46" s="5">
        <f t="shared" si="45"/>
        <v>16.909370656623675</v>
      </c>
      <c r="V46" s="5">
        <f t="shared" si="45"/>
        <v>16.585356641514487</v>
      </c>
      <c r="W46" s="5">
        <f t="shared" si="45"/>
        <v>17.322169875097099</v>
      </c>
      <c r="X46" s="5">
        <f t="shared" si="45"/>
        <v>21.359852613141975</v>
      </c>
      <c r="Y46" s="39">
        <f t="shared" si="16"/>
        <v>22.199010092285135</v>
      </c>
      <c r="Z46" s="39">
        <f t="shared" ref="Z46:AN47" si="46">AD24</f>
        <v>23.355205032498805</v>
      </c>
      <c r="AA46" s="39">
        <f t="shared" si="46"/>
        <v>22.280034512346635</v>
      </c>
      <c r="AB46" s="39">
        <f t="shared" si="46"/>
        <v>21.53568569070282</v>
      </c>
      <c r="AC46" s="39">
        <f t="shared" si="46"/>
        <v>22.237673197293738</v>
      </c>
      <c r="AD46" s="39">
        <f t="shared" si="46"/>
        <v>24.134854950020038</v>
      </c>
      <c r="AE46" s="39">
        <f t="shared" si="46"/>
        <v>24.760861050246227</v>
      </c>
      <c r="AF46" s="39">
        <f t="shared" si="46"/>
        <v>25.688439369539484</v>
      </c>
      <c r="AG46" s="39">
        <f t="shared" si="46"/>
        <v>25.845108995052591</v>
      </c>
      <c r="AH46" s="39">
        <f t="shared" si="46"/>
        <v>28.695360147999999</v>
      </c>
      <c r="AI46" s="39">
        <f t="shared" si="46"/>
        <v>28.813957855999998</v>
      </c>
      <c r="AJ46" s="39">
        <f t="shared" si="46"/>
        <v>28.427545444</v>
      </c>
      <c r="AK46" s="39">
        <f t="shared" si="46"/>
        <v>29.604579672</v>
      </c>
      <c r="AL46" s="39">
        <f t="shared" si="46"/>
        <v>27.776730327999999</v>
      </c>
      <c r="AM46" s="39">
        <f t="shared" si="46"/>
        <v>27.030744296000002</v>
      </c>
      <c r="AN46" s="39">
        <f t="shared" si="46"/>
        <v>27.583007204000001</v>
      </c>
      <c r="AO46" s="39">
        <f t="shared" si="43"/>
        <v>33.419383331999995</v>
      </c>
      <c r="AP46" s="39">
        <f t="shared" si="43"/>
        <v>33.400091883999998</v>
      </c>
      <c r="AQ46" s="39">
        <f t="shared" si="43"/>
        <v>32.803670871999998</v>
      </c>
      <c r="AR46" s="39">
        <f t="shared" si="43"/>
        <v>29.471651563999998</v>
      </c>
      <c r="AS46" s="39">
        <f t="shared" si="19"/>
        <v>27.580656336000001</v>
      </c>
      <c r="AT46" s="39">
        <f t="shared" si="20"/>
        <v>20.005828676</v>
      </c>
      <c r="AU46" s="39">
        <f t="shared" si="21"/>
        <v>19.100546599999998</v>
      </c>
      <c r="AV46" s="39">
        <f t="shared" si="24"/>
        <v>18.576064195999997</v>
      </c>
      <c r="AW46" s="39">
        <f t="shared" si="25"/>
        <v>17.142860419999998</v>
      </c>
      <c r="AX46" s="39">
        <f t="shared" si="26"/>
        <v>17.870271524</v>
      </c>
      <c r="AY46" s="39">
        <f t="shared" si="27"/>
        <v>17.811506647999998</v>
      </c>
      <c r="AZ46" s="39">
        <f t="shared" si="28"/>
        <v>18.329444836</v>
      </c>
      <c r="BA46" s="39">
        <f t="shared" ref="BA46:BA47" si="47">BE24</f>
        <v>18.839074804000003</v>
      </c>
      <c r="BB46" s="39">
        <f t="shared" ref="BB46:BB47" si="48">BF24</f>
        <v>17.329742484000001</v>
      </c>
      <c r="BQ46">
        <f t="shared" si="2"/>
        <v>2006</v>
      </c>
      <c r="BR46" s="49">
        <v>301.63248268799998</v>
      </c>
      <c r="BS46" s="49">
        <v>79.236968124000001</v>
      </c>
      <c r="BT46" s="49">
        <v>13.064957439999999</v>
      </c>
      <c r="BU46" s="49">
        <v>96.462862975999997</v>
      </c>
      <c r="BV46" s="49">
        <v>245.509183912</v>
      </c>
      <c r="BW46" s="49">
        <v>60.357440648000001</v>
      </c>
      <c r="BX46" s="49">
        <v>168.53377468799999</v>
      </c>
      <c r="BY46" s="49">
        <v>532.21748647599998</v>
      </c>
      <c r="BZ46" s="49">
        <v>220.01886207999999</v>
      </c>
      <c r="CA46" s="49">
        <v>157.69310346</v>
      </c>
      <c r="CB46" s="49">
        <v>443.67349676800001</v>
      </c>
      <c r="CC46" s="49">
        <v>179.19403641600002</v>
      </c>
      <c r="CD46" s="49">
        <v>106.736016244</v>
      </c>
      <c r="CE46" s="49">
        <v>117.602925752</v>
      </c>
      <c r="CF46" s="49">
        <v>51.663726063999995</v>
      </c>
      <c r="CG46" s="49">
        <v>189.979061336</v>
      </c>
      <c r="CH46" s="49">
        <v>32.803670871999998</v>
      </c>
      <c r="CI46" s="49">
        <v>43.850928463999999</v>
      </c>
    </row>
    <row r="47" spans="6:87" x14ac:dyDescent="0.2">
      <c r="F47" t="s">
        <v>119</v>
      </c>
      <c r="G47" s="5">
        <f t="shared" ref="G47:M47" si="49">$Z25*G25</f>
        <v>15.609787456863595</v>
      </c>
      <c r="H47" s="5">
        <f t="shared" si="49"/>
        <v>17.674656817572057</v>
      </c>
      <c r="I47" s="5">
        <f t="shared" si="49"/>
        <v>19.833754167316457</v>
      </c>
      <c r="J47" s="5">
        <f t="shared" si="49"/>
        <v>19.878476693195989</v>
      </c>
      <c r="K47" s="5">
        <f t="shared" si="49"/>
        <v>18.877802996681545</v>
      </c>
      <c r="L47" s="5">
        <f t="shared" si="49"/>
        <v>18.278815879446618</v>
      </c>
      <c r="M47" s="5">
        <f t="shared" si="49"/>
        <v>17.792073411794558</v>
      </c>
      <c r="N47" s="5">
        <f t="shared" si="45"/>
        <v>19.687953956599571</v>
      </c>
      <c r="O47" s="5">
        <f t="shared" si="45"/>
        <v>19.385936038873506</v>
      </c>
      <c r="P47" s="5">
        <f t="shared" si="45"/>
        <v>18.517125198767097</v>
      </c>
      <c r="Q47" s="5">
        <f t="shared" si="45"/>
        <v>18.431041326642504</v>
      </c>
      <c r="R47" s="5">
        <f t="shared" si="45"/>
        <v>18.627860226114883</v>
      </c>
      <c r="S47" s="5">
        <f t="shared" si="45"/>
        <v>19.102441732568916</v>
      </c>
      <c r="T47" s="5">
        <f t="shared" si="45"/>
        <v>19.325603339831339</v>
      </c>
      <c r="U47" s="5">
        <f t="shared" si="45"/>
        <v>20.284003346797792</v>
      </c>
      <c r="V47" s="5">
        <f t="shared" si="45"/>
        <v>19.664239415299171</v>
      </c>
      <c r="W47" s="5">
        <f t="shared" si="45"/>
        <v>20.339372988667815</v>
      </c>
      <c r="X47" s="5">
        <f t="shared" si="45"/>
        <v>25.284567016894268</v>
      </c>
      <c r="Y47" s="39">
        <f t="shared" si="16"/>
        <v>26.64857301611816</v>
      </c>
      <c r="Z47" s="39">
        <f t="shared" si="46"/>
        <v>27.664804893891468</v>
      </c>
      <c r="AA47" s="39">
        <f t="shared" si="46"/>
        <v>29.85303894726405</v>
      </c>
      <c r="AB47" s="39">
        <f t="shared" si="46"/>
        <v>28.863897556069173</v>
      </c>
      <c r="AC47" s="39">
        <f t="shared" si="46"/>
        <v>27.325157918414416</v>
      </c>
      <c r="AD47" s="39">
        <f t="shared" si="46"/>
        <v>30.172706688889512</v>
      </c>
      <c r="AE47" s="39">
        <f t="shared" si="46"/>
        <v>30.71790273128039</v>
      </c>
      <c r="AF47" s="39">
        <f t="shared" si="46"/>
        <v>32.973185738934589</v>
      </c>
      <c r="AG47" s="39">
        <f t="shared" si="46"/>
        <v>33.488920877171424</v>
      </c>
      <c r="AH47" s="39">
        <f t="shared" si="46"/>
        <v>34.532872472000001</v>
      </c>
      <c r="AI47" s="39">
        <f t="shared" si="46"/>
        <v>35.481852031999999</v>
      </c>
      <c r="AJ47" s="39">
        <f t="shared" si="46"/>
        <v>35.006884571999997</v>
      </c>
      <c r="AK47" s="39">
        <f t="shared" si="46"/>
        <v>36.657630644000001</v>
      </c>
      <c r="AL47" s="39">
        <f t="shared" si="46"/>
        <v>37.375102591999998</v>
      </c>
      <c r="AM47" s="39">
        <f t="shared" si="46"/>
        <v>35.271246332000004</v>
      </c>
      <c r="AN47" s="39">
        <f t="shared" si="46"/>
        <v>36.568011052000003</v>
      </c>
      <c r="AO47" s="39">
        <f t="shared" si="43"/>
        <v>43.772309159999999</v>
      </c>
      <c r="AP47" s="39">
        <f t="shared" si="43"/>
        <v>44.576063763999997</v>
      </c>
      <c r="AQ47" s="39">
        <f t="shared" si="43"/>
        <v>43.850928463999999</v>
      </c>
      <c r="AR47" s="39">
        <f t="shared" si="43"/>
        <v>40.031696027999999</v>
      </c>
      <c r="AS47" s="39">
        <f t="shared" si="19"/>
        <v>39.769118744000004</v>
      </c>
      <c r="AT47" s="39">
        <f t="shared" si="20"/>
        <v>34.883922916000003</v>
      </c>
      <c r="AU47" s="39">
        <f t="shared" si="21"/>
        <v>35.953311956</v>
      </c>
      <c r="AV47" s="39">
        <f t="shared" si="24"/>
        <v>36.712505839999999</v>
      </c>
      <c r="AW47" s="39">
        <f t="shared" si="25"/>
        <v>31.878974516</v>
      </c>
      <c r="AX47" s="39">
        <f t="shared" si="26"/>
        <v>33.50428754</v>
      </c>
      <c r="AY47" s="39">
        <f t="shared" si="27"/>
        <v>32.096567991999997</v>
      </c>
      <c r="AZ47" s="39">
        <f t="shared" si="28"/>
        <v>33.531549419999997</v>
      </c>
      <c r="BA47" s="39">
        <f t="shared" si="47"/>
        <v>33.142451764</v>
      </c>
      <c r="BB47" s="39">
        <f t="shared" si="48"/>
        <v>28.245211575999999</v>
      </c>
      <c r="BQ47">
        <f t="shared" si="2"/>
        <v>2007</v>
      </c>
      <c r="BR47" s="49">
        <v>307.48225773999997</v>
      </c>
      <c r="BS47" s="49">
        <v>68.415711176000002</v>
      </c>
      <c r="BT47" s="49">
        <v>8.8014314240000004</v>
      </c>
      <c r="BU47" s="49">
        <v>85.215181091999995</v>
      </c>
      <c r="BV47" s="49">
        <v>252.53347172400001</v>
      </c>
      <c r="BW47" s="49">
        <v>57.377631864000001</v>
      </c>
      <c r="BX47" s="49">
        <v>167.6105762</v>
      </c>
      <c r="BY47" s="49">
        <v>550.50749882799994</v>
      </c>
      <c r="BZ47" s="49">
        <v>207.53010613999999</v>
      </c>
      <c r="CA47" s="49">
        <v>156.99244243599998</v>
      </c>
      <c r="CB47" s="49">
        <v>466.72509842399995</v>
      </c>
      <c r="CC47" s="49">
        <v>162.483268264</v>
      </c>
      <c r="CD47" s="49">
        <v>105.377490912</v>
      </c>
      <c r="CE47" s="49">
        <v>115.96706964800001</v>
      </c>
      <c r="CF47" s="49">
        <v>52.612490668</v>
      </c>
      <c r="CG47" s="49">
        <v>194.72188122799997</v>
      </c>
      <c r="CH47" s="49">
        <v>29.471651563999998</v>
      </c>
      <c r="CI47" s="49">
        <v>40.031696027999999</v>
      </c>
    </row>
    <row r="48" spans="6:87" x14ac:dyDescent="0.2">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BQ48">
        <f t="shared" si="2"/>
        <v>2008</v>
      </c>
      <c r="BR48" s="49">
        <v>334.69119032399999</v>
      </c>
      <c r="BS48" s="49">
        <v>63.298574411999994</v>
      </c>
      <c r="BT48" s="49">
        <v>6.6801330200000004</v>
      </c>
      <c r="BU48" s="49">
        <v>78.449870903999994</v>
      </c>
      <c r="BV48" s="49">
        <v>231.50060375200002</v>
      </c>
      <c r="BW48" s="49">
        <v>58.050478263999999</v>
      </c>
      <c r="BX48" s="49">
        <v>172.90319212399999</v>
      </c>
      <c r="BY48" s="49">
        <v>536.77850136000006</v>
      </c>
      <c r="BZ48" s="49">
        <v>199.834729108</v>
      </c>
      <c r="CA48" s="49">
        <v>148.58574188</v>
      </c>
      <c r="CB48" s="49">
        <v>473.65823124400004</v>
      </c>
      <c r="CC48" s="49">
        <v>166.160735512</v>
      </c>
      <c r="CD48" s="49">
        <v>102.92644659199999</v>
      </c>
      <c r="CE48" s="49">
        <v>114.43627584799999</v>
      </c>
      <c r="CF48" s="49">
        <v>50.072976600000004</v>
      </c>
      <c r="CG48" s="49">
        <v>189.70901518399998</v>
      </c>
      <c r="CH48" s="49">
        <v>27.580656336000001</v>
      </c>
      <c r="CI48" s="49">
        <v>39.769118744000004</v>
      </c>
    </row>
    <row r="49" spans="6:87" x14ac:dyDescent="0.2">
      <c r="BQ49">
        <f t="shared" si="2"/>
        <v>2009</v>
      </c>
      <c r="BR49" s="49">
        <v>313.91500369999994</v>
      </c>
      <c r="BS49" s="49">
        <v>50.465271299999998</v>
      </c>
      <c r="BT49" s="49">
        <v>4.7902023360000001</v>
      </c>
      <c r="BU49" s="49">
        <v>63.432399876000005</v>
      </c>
      <c r="BV49" s="49">
        <v>221.86882800799998</v>
      </c>
      <c r="BW49" s="49">
        <v>47.950862727999997</v>
      </c>
      <c r="BX49" s="49">
        <v>163.05532759599998</v>
      </c>
      <c r="BY49" s="49">
        <v>469.80293055599998</v>
      </c>
      <c r="BZ49" s="49">
        <v>163.97076378400001</v>
      </c>
      <c r="CA49" s="49">
        <v>117.327584176</v>
      </c>
      <c r="CB49" s="49">
        <v>354.88301735599998</v>
      </c>
      <c r="CC49" s="49">
        <v>128.06374925599999</v>
      </c>
      <c r="CD49" s="49">
        <v>80.589184668000001</v>
      </c>
      <c r="CE49" s="49">
        <v>100.66183054</v>
      </c>
      <c r="CF49" s="49">
        <v>39.156026699999998</v>
      </c>
      <c r="CG49" s="49">
        <v>149.042844108</v>
      </c>
      <c r="CH49" s="49">
        <v>20.005828676</v>
      </c>
      <c r="CI49" s="49">
        <v>34.883922916000003</v>
      </c>
    </row>
    <row r="50" spans="6:87" x14ac:dyDescent="0.2">
      <c r="AC50" s="4"/>
      <c r="BQ50">
        <f t="shared" si="2"/>
        <v>2010</v>
      </c>
      <c r="BR50" s="49">
        <v>321.26902378</v>
      </c>
      <c r="BS50" s="49">
        <v>52.214992668000008</v>
      </c>
      <c r="BT50" s="49">
        <v>4.7583308439999996</v>
      </c>
      <c r="BU50" s="49">
        <v>67.583578967999998</v>
      </c>
      <c r="BV50" s="49">
        <v>229.32690385199999</v>
      </c>
      <c r="BW50" s="49">
        <v>46.128059732000004</v>
      </c>
      <c r="BX50" s="49">
        <v>164.91379281599998</v>
      </c>
      <c r="BY50" s="49">
        <v>509.31938387599996</v>
      </c>
      <c r="BZ50" s="49">
        <v>171.66115588400001</v>
      </c>
      <c r="CA50" s="49">
        <v>120.60719175200001</v>
      </c>
      <c r="CB50" s="49">
        <v>403.28624645599996</v>
      </c>
      <c r="CC50" s="49">
        <v>135.48137584</v>
      </c>
      <c r="CD50" s="49">
        <v>80.164175712000002</v>
      </c>
      <c r="CE50" s="49">
        <v>94.309365528000001</v>
      </c>
      <c r="CF50" s="49">
        <v>39.913531644000003</v>
      </c>
      <c r="CG50" s="49">
        <v>176.70813510400001</v>
      </c>
      <c r="CH50" s="49">
        <v>19.100546599999998</v>
      </c>
      <c r="CI50" s="49">
        <v>35.953311956</v>
      </c>
    </row>
    <row r="51" spans="6:87" x14ac:dyDescent="0.2">
      <c r="BQ51">
        <v>2011</v>
      </c>
      <c r="BR51" s="49">
        <v>340.83685742799997</v>
      </c>
      <c r="BS51" s="49">
        <v>54.125074623999993</v>
      </c>
      <c r="BT51" s="49">
        <v>4.6839253599999999</v>
      </c>
      <c r="BU51" s="49">
        <v>68.977261547999987</v>
      </c>
      <c r="BV51" s="49">
        <v>228.31483299999999</v>
      </c>
      <c r="BW51" s="49">
        <v>45.594692479999999</v>
      </c>
      <c r="BX51" s="49">
        <v>171.975315784</v>
      </c>
      <c r="BY51" s="49">
        <v>529.71076855199999</v>
      </c>
      <c r="BZ51" s="49">
        <v>175.84163040799999</v>
      </c>
      <c r="CA51" s="49">
        <v>120.78136070399999</v>
      </c>
      <c r="CB51" s="49">
        <v>465.72311003200002</v>
      </c>
      <c r="CC51" s="49">
        <v>148.81893502</v>
      </c>
      <c r="CD51" s="49">
        <v>88.023710887999997</v>
      </c>
      <c r="CE51" s="49">
        <v>94.879961112000004</v>
      </c>
      <c r="CF51" s="49">
        <v>43.524294291999993</v>
      </c>
      <c r="CG51" s="49">
        <v>197.729702532</v>
      </c>
      <c r="CH51" s="49">
        <v>18.576064195999997</v>
      </c>
      <c r="CI51" s="49">
        <v>36.712505839999999</v>
      </c>
    </row>
    <row r="52" spans="6:87" x14ac:dyDescent="0.2">
      <c r="BQ52">
        <v>2012</v>
      </c>
      <c r="BR52" s="49">
        <v>299.93102747199998</v>
      </c>
      <c r="BS52" s="49">
        <v>49.364757995999994</v>
      </c>
      <c r="BT52" s="49">
        <v>3.672690448</v>
      </c>
      <c r="BU52" s="49">
        <v>66.419227144000004</v>
      </c>
      <c r="BV52" s="49">
        <v>220.31695828400001</v>
      </c>
      <c r="BW52" s="49">
        <v>43.359470807999998</v>
      </c>
      <c r="BX52" s="49">
        <v>174.67706704</v>
      </c>
      <c r="BY52" s="49">
        <v>540.27317753199998</v>
      </c>
      <c r="BZ52" s="49">
        <v>178.53335720800001</v>
      </c>
      <c r="CA52" s="49">
        <v>120.404798736</v>
      </c>
      <c r="CB52" s="49">
        <v>454.57251319599999</v>
      </c>
      <c r="CC52" s="49">
        <v>141.51061867999999</v>
      </c>
      <c r="CD52" s="49">
        <v>83.639372775999988</v>
      </c>
      <c r="CE52" s="49">
        <v>141.09177179600002</v>
      </c>
      <c r="CF52" s="49">
        <v>42.068765799999994</v>
      </c>
      <c r="CG52" s="49">
        <v>195.46619537999999</v>
      </c>
      <c r="CH52" s="49">
        <v>17.142860419999998</v>
      </c>
      <c r="CI52" s="49">
        <v>31.878974516</v>
      </c>
    </row>
    <row r="53" spans="6:87" x14ac:dyDescent="0.2">
      <c r="G53">
        <v>1970</v>
      </c>
      <c r="H53">
        <v>1971</v>
      </c>
      <c r="I53">
        <v>1972</v>
      </c>
      <c r="J53">
        <v>1973</v>
      </c>
      <c r="K53">
        <v>1974</v>
      </c>
      <c r="L53">
        <v>1975</v>
      </c>
      <c r="M53">
        <v>1976</v>
      </c>
      <c r="N53">
        <f>N29</f>
        <v>1977</v>
      </c>
      <c r="O53">
        <f t="shared" ref="O53:AS53" si="50">O29</f>
        <v>1978</v>
      </c>
      <c r="P53">
        <f t="shared" si="50"/>
        <v>1979</v>
      </c>
      <c r="Q53">
        <f t="shared" si="50"/>
        <v>1980</v>
      </c>
      <c r="R53">
        <f t="shared" si="50"/>
        <v>1981</v>
      </c>
      <c r="S53">
        <f t="shared" si="50"/>
        <v>1982</v>
      </c>
      <c r="T53">
        <f t="shared" si="50"/>
        <v>1983</v>
      </c>
      <c r="U53">
        <f t="shared" si="50"/>
        <v>1984</v>
      </c>
      <c r="V53">
        <f t="shared" si="50"/>
        <v>1985</v>
      </c>
      <c r="W53">
        <f t="shared" si="50"/>
        <v>1986</v>
      </c>
      <c r="X53">
        <f t="shared" si="50"/>
        <v>1987</v>
      </c>
      <c r="Y53">
        <f t="shared" si="50"/>
        <v>1988</v>
      </c>
      <c r="Z53">
        <f t="shared" si="50"/>
        <v>1989</v>
      </c>
      <c r="AA53">
        <f t="shared" si="50"/>
        <v>1990</v>
      </c>
      <c r="AB53">
        <f t="shared" si="50"/>
        <v>1991</v>
      </c>
      <c r="AC53">
        <f t="shared" si="50"/>
        <v>1992</v>
      </c>
      <c r="AD53">
        <f t="shared" si="50"/>
        <v>1993</v>
      </c>
      <c r="AE53">
        <f t="shared" si="50"/>
        <v>1994</v>
      </c>
      <c r="AF53">
        <f t="shared" si="50"/>
        <v>1995</v>
      </c>
      <c r="AG53">
        <f t="shared" si="50"/>
        <v>1996</v>
      </c>
      <c r="AH53">
        <f t="shared" si="50"/>
        <v>1997</v>
      </c>
      <c r="AI53">
        <f t="shared" si="50"/>
        <v>1998</v>
      </c>
      <c r="AJ53">
        <f t="shared" si="50"/>
        <v>1999</v>
      </c>
      <c r="AK53">
        <f t="shared" si="50"/>
        <v>2000</v>
      </c>
      <c r="AL53">
        <f t="shared" si="50"/>
        <v>2001</v>
      </c>
      <c r="AM53">
        <f t="shared" si="50"/>
        <v>2002</v>
      </c>
      <c r="AN53">
        <f t="shared" si="50"/>
        <v>2003</v>
      </c>
      <c r="AO53">
        <f t="shared" si="50"/>
        <v>2004</v>
      </c>
      <c r="AP53">
        <f t="shared" si="50"/>
        <v>2005</v>
      </c>
      <c r="AQ53">
        <f t="shared" si="50"/>
        <v>2006</v>
      </c>
      <c r="AR53">
        <f t="shared" si="50"/>
        <v>2007</v>
      </c>
      <c r="AS53">
        <f t="shared" si="50"/>
        <v>2008</v>
      </c>
      <c r="AT53">
        <f>AT29</f>
        <v>2009</v>
      </c>
      <c r="AU53">
        <f>AU29</f>
        <v>2010</v>
      </c>
      <c r="AV53">
        <v>2011</v>
      </c>
      <c r="AW53">
        <v>2012</v>
      </c>
      <c r="AX53">
        <v>2013</v>
      </c>
      <c r="AY53">
        <v>2014</v>
      </c>
      <c r="AZ53">
        <v>2015</v>
      </c>
      <c r="BQ53">
        <v>2013</v>
      </c>
      <c r="BR53" s="49">
        <v>290.75231755999999</v>
      </c>
      <c r="BS53" s="49">
        <v>50.116087219999997</v>
      </c>
      <c r="BT53" s="49">
        <v>3.8386603639999999</v>
      </c>
      <c r="BU53" s="49">
        <v>71.100699275999986</v>
      </c>
      <c r="BV53" s="49">
        <v>206.06780824000001</v>
      </c>
      <c r="BW53" s="49">
        <v>43.347716468000002</v>
      </c>
      <c r="BX53" s="49">
        <v>175.214051012</v>
      </c>
      <c r="BY53" s="49">
        <v>529.74683339199998</v>
      </c>
      <c r="BZ53" s="49">
        <v>179.59327794799998</v>
      </c>
      <c r="CA53" s="49">
        <v>119.71339788</v>
      </c>
      <c r="CB53" s="49">
        <v>418.22865689599996</v>
      </c>
      <c r="CC53" s="49">
        <v>146.36505874000002</v>
      </c>
      <c r="CD53" s="49">
        <v>85.032806280000003</v>
      </c>
      <c r="CE53" s="49">
        <v>126.094001656</v>
      </c>
      <c r="CF53" s="49">
        <v>38.609277583999997</v>
      </c>
      <c r="CG53" s="49">
        <v>194.855908</v>
      </c>
      <c r="CH53" s="49">
        <v>17.870271524</v>
      </c>
      <c r="CI53" s="49">
        <v>33.50428754</v>
      </c>
    </row>
    <row r="54" spans="6:87" x14ac:dyDescent="0.2">
      <c r="F54" t="str">
        <f t="shared" ref="F54:AU57" si="51">F34</f>
        <v>322</v>
      </c>
      <c r="G54" s="5">
        <f t="shared" ref="G54:M54" si="52">G34</f>
        <v>108.58771136767301</v>
      </c>
      <c r="H54" s="5">
        <f t="shared" si="52"/>
        <v>114.59481396162843</v>
      </c>
      <c r="I54" s="5">
        <f t="shared" si="52"/>
        <v>120.76546675433026</v>
      </c>
      <c r="J54" s="5">
        <f t="shared" si="52"/>
        <v>125.05336814146342</v>
      </c>
      <c r="K54" s="5">
        <f t="shared" si="52"/>
        <v>134.1583039116739</v>
      </c>
      <c r="L54" s="5">
        <f t="shared" si="52"/>
        <v>128.4176919356758</v>
      </c>
      <c r="M54" s="5">
        <f t="shared" si="52"/>
        <v>142.65329364655963</v>
      </c>
      <c r="N54" s="5">
        <f t="shared" si="51"/>
        <v>146.27160127882522</v>
      </c>
      <c r="O54" s="5">
        <f t="shared" si="51"/>
        <v>149.72058635238869</v>
      </c>
      <c r="P54" s="5">
        <f t="shared" si="51"/>
        <v>151.52637295854728</v>
      </c>
      <c r="Q54" s="5">
        <f t="shared" si="51"/>
        <v>163.09225818989452</v>
      </c>
      <c r="R54" s="5">
        <f t="shared" si="51"/>
        <v>171.34577086663123</v>
      </c>
      <c r="S54" s="5">
        <f t="shared" si="51"/>
        <v>165.89954924837659</v>
      </c>
      <c r="T54" s="5">
        <f t="shared" si="51"/>
        <v>170.08451021629881</v>
      </c>
      <c r="U54" s="5">
        <f t="shared" si="51"/>
        <v>175.96365883123499</v>
      </c>
      <c r="V54" s="5">
        <f t="shared" si="51"/>
        <v>172.16705300536009</v>
      </c>
      <c r="W54" s="5">
        <f t="shared" si="51"/>
        <v>191.34435899034963</v>
      </c>
      <c r="X54" s="5">
        <f t="shared" si="51"/>
        <v>194.48346030722433</v>
      </c>
      <c r="Y54" s="5">
        <f t="shared" si="51"/>
        <v>197.55336384638781</v>
      </c>
      <c r="Z54" s="5">
        <f t="shared" si="51"/>
        <v>203.60553441825095</v>
      </c>
      <c r="AA54" s="5">
        <f t="shared" si="51"/>
        <v>215.91304783726235</v>
      </c>
      <c r="AB54" s="5">
        <f t="shared" si="51"/>
        <v>219.58196495057035</v>
      </c>
      <c r="AC54" s="5">
        <f t="shared" si="51"/>
        <v>222.69125568365018</v>
      </c>
      <c r="AD54" s="5">
        <f t="shared" si="51"/>
        <v>231.05282872547528</v>
      </c>
      <c r="AE54" s="5">
        <f t="shared" si="51"/>
        <v>236.49778005779467</v>
      </c>
      <c r="AF54" s="5">
        <f t="shared" si="51"/>
        <v>243.108920556654</v>
      </c>
      <c r="AG54" s="5">
        <f t="shared" si="51"/>
        <v>239.95958617642583</v>
      </c>
      <c r="AH54" s="5">
        <f t="shared" si="51"/>
        <v>239.01765260400001</v>
      </c>
      <c r="AI54" s="5">
        <f t="shared" si="51"/>
        <v>247.72932454400001</v>
      </c>
      <c r="AJ54" s="5">
        <f t="shared" si="51"/>
        <v>241.930821616</v>
      </c>
      <c r="AK54" s="5">
        <f t="shared" si="51"/>
        <v>251.9243376</v>
      </c>
      <c r="AL54" s="5">
        <f t="shared" si="51"/>
        <v>247.14786856399999</v>
      </c>
      <c r="AM54" s="5">
        <f t="shared" si="51"/>
        <v>243.73968318000001</v>
      </c>
      <c r="AN54" s="5">
        <f t="shared" si="51"/>
        <v>244.92814419599998</v>
      </c>
      <c r="AO54" s="5">
        <f t="shared" si="51"/>
        <v>252.8525722</v>
      </c>
      <c r="AP54" s="5">
        <f t="shared" si="51"/>
        <v>256.52020947599999</v>
      </c>
      <c r="AQ54" s="5">
        <f t="shared" si="51"/>
        <v>245.509183912</v>
      </c>
      <c r="AR54" s="5">
        <f t="shared" si="51"/>
        <v>252.53347172400001</v>
      </c>
      <c r="AS54" s="5">
        <f t="shared" si="51"/>
        <v>231.50060375200002</v>
      </c>
      <c r="AT54" s="5">
        <f t="shared" si="51"/>
        <v>221.86882800799998</v>
      </c>
      <c r="AU54" s="5">
        <f t="shared" si="51"/>
        <v>229.32690385199999</v>
      </c>
      <c r="AV54" s="5">
        <f t="shared" ref="AV54:AY54" si="53">AV34</f>
        <v>228.31483299999999</v>
      </c>
      <c r="AW54" s="5">
        <f t="shared" si="53"/>
        <v>220.31695828400001</v>
      </c>
      <c r="AX54" s="5">
        <f t="shared" si="53"/>
        <v>206.06780824000001</v>
      </c>
      <c r="AY54" s="5">
        <f t="shared" si="53"/>
        <v>204.47927316400001</v>
      </c>
      <c r="AZ54" s="5">
        <f t="shared" ref="AZ54" si="54">AZ34</f>
        <v>209.27767453599998</v>
      </c>
      <c r="BA54" s="5"/>
      <c r="BB54" s="5"/>
      <c r="BQ54">
        <v>2014</v>
      </c>
      <c r="BR54" s="49">
        <v>293.20092571200001</v>
      </c>
      <c r="BS54" s="49">
        <v>50.308401187999998</v>
      </c>
      <c r="BT54" s="49">
        <v>3.9326268440000001</v>
      </c>
      <c r="BU54" s="49">
        <v>72.53285898</v>
      </c>
      <c r="BV54" s="49">
        <v>204.47927316400001</v>
      </c>
      <c r="BW54" s="49">
        <v>42.821162979999997</v>
      </c>
      <c r="BX54" s="49">
        <v>181.76113991600002</v>
      </c>
      <c r="BY54" s="49">
        <v>522.15054083999996</v>
      </c>
      <c r="BZ54" s="49">
        <v>178.72704962399999</v>
      </c>
      <c r="CA54" s="49">
        <v>121.96623911999998</v>
      </c>
      <c r="CB54" s="49">
        <v>405.70103486399995</v>
      </c>
      <c r="CC54" s="49">
        <v>149.814583916</v>
      </c>
      <c r="CD54" s="49">
        <v>87.051430780000004</v>
      </c>
      <c r="CE54" s="49">
        <v>150.502760432</v>
      </c>
      <c r="CF54" s="49">
        <v>36.611210383999996</v>
      </c>
      <c r="CG54" s="49">
        <v>199.433143532</v>
      </c>
      <c r="CH54" s="49">
        <v>17.811506647999998</v>
      </c>
      <c r="CI54" s="49">
        <v>32.096567991999997</v>
      </c>
    </row>
    <row r="55" spans="6:87" x14ac:dyDescent="0.2">
      <c r="F55" t="str">
        <f t="shared" si="51"/>
        <v>323</v>
      </c>
      <c r="G55" s="5">
        <f t="shared" ref="G55:M55" si="55">G35</f>
        <v>19.654830045750757</v>
      </c>
      <c r="H55" s="5">
        <f t="shared" si="55"/>
        <v>18.859314067455642</v>
      </c>
      <c r="I55" s="5">
        <f t="shared" si="55"/>
        <v>19.523578840096089</v>
      </c>
      <c r="J55" s="5">
        <f t="shared" si="55"/>
        <v>21.555728488482785</v>
      </c>
      <c r="K55" s="5">
        <f t="shared" si="55"/>
        <v>20.445348627529562</v>
      </c>
      <c r="L55" s="5">
        <f t="shared" si="55"/>
        <v>23.292740227610388</v>
      </c>
      <c r="M55" s="5">
        <f t="shared" si="55"/>
        <v>24.453094053726716</v>
      </c>
      <c r="N55" s="5">
        <f t="shared" si="51"/>
        <v>26.273357004969821</v>
      </c>
      <c r="O55" s="5">
        <f t="shared" si="51"/>
        <v>25.406581480299</v>
      </c>
      <c r="P55" s="5">
        <f t="shared" si="51"/>
        <v>23.300642176861189</v>
      </c>
      <c r="Q55" s="5">
        <f t="shared" si="51"/>
        <v>23.550910729039504</v>
      </c>
      <c r="R55" s="5">
        <f t="shared" si="51"/>
        <v>25.410316204946319</v>
      </c>
      <c r="S55" s="5">
        <f t="shared" si="51"/>
        <v>26.056743187171495</v>
      </c>
      <c r="T55" s="5">
        <f t="shared" si="51"/>
        <v>26.455827776869281</v>
      </c>
      <c r="U55" s="5">
        <f t="shared" si="51"/>
        <v>32.066297818155704</v>
      </c>
      <c r="V55" s="5">
        <f t="shared" si="51"/>
        <v>31.070213829376723</v>
      </c>
      <c r="W55" s="5">
        <f t="shared" si="51"/>
        <v>33.35837801904546</v>
      </c>
      <c r="X55" s="5">
        <f t="shared" si="51"/>
        <v>38.574928279933708</v>
      </c>
      <c r="Y55" s="5">
        <f t="shared" si="51"/>
        <v>41.228554572525958</v>
      </c>
      <c r="Z55" s="5">
        <f t="shared" si="51"/>
        <v>40.860254194455955</v>
      </c>
      <c r="AA55" s="5">
        <f t="shared" si="51"/>
        <v>42.559536231756297</v>
      </c>
      <c r="AB55" s="5">
        <f t="shared" si="51"/>
        <v>41.919301686389602</v>
      </c>
      <c r="AC55" s="5">
        <f t="shared" si="51"/>
        <v>42.442327456311915</v>
      </c>
      <c r="AD55" s="5">
        <f t="shared" si="51"/>
        <v>44.795820817640724</v>
      </c>
      <c r="AE55" s="5">
        <f t="shared" si="51"/>
        <v>45.355872790684593</v>
      </c>
      <c r="AF55" s="5">
        <f t="shared" si="51"/>
        <v>47.033576643384293</v>
      </c>
      <c r="AG55" s="5">
        <f t="shared" si="51"/>
        <v>47.738300535909723</v>
      </c>
      <c r="AH55" s="5">
        <f t="shared" si="51"/>
        <v>48.749823471999996</v>
      </c>
      <c r="AI55" s="5">
        <f t="shared" si="51"/>
        <v>50.323086435999997</v>
      </c>
      <c r="AJ55" s="5">
        <f t="shared" si="51"/>
        <v>50.350853291999996</v>
      </c>
      <c r="AK55" s="5">
        <f t="shared" si="51"/>
        <v>52.926108060000004</v>
      </c>
      <c r="AL55" s="5">
        <f t="shared" si="51"/>
        <v>52.071531715999996</v>
      </c>
      <c r="AM55" s="5">
        <f t="shared" si="51"/>
        <v>50.270889659999995</v>
      </c>
      <c r="AN55" s="5">
        <f t="shared" si="51"/>
        <v>51.488345851999995</v>
      </c>
      <c r="AO55" s="5">
        <f t="shared" si="51"/>
        <v>59.880651180000001</v>
      </c>
      <c r="AP55" s="5">
        <f t="shared" si="51"/>
        <v>61.317075883999998</v>
      </c>
      <c r="AQ55" s="5">
        <f t="shared" si="51"/>
        <v>60.357440648000001</v>
      </c>
      <c r="AR55" s="5">
        <f t="shared" si="51"/>
        <v>57.377631864000001</v>
      </c>
      <c r="AS55" s="5">
        <f t="shared" si="51"/>
        <v>58.050478263999999</v>
      </c>
      <c r="AT55" s="5">
        <f t="shared" si="51"/>
        <v>47.950862727999997</v>
      </c>
      <c r="AU55" s="5">
        <f t="shared" si="51"/>
        <v>46.128059732000004</v>
      </c>
      <c r="AV55" s="5">
        <f t="shared" ref="AV55:AY55" si="56">AV35</f>
        <v>45.594692479999999</v>
      </c>
      <c r="AW55" s="5">
        <f t="shared" si="56"/>
        <v>43.359470807999998</v>
      </c>
      <c r="AX55" s="5">
        <f t="shared" si="56"/>
        <v>43.347716468000002</v>
      </c>
      <c r="AY55" s="5">
        <f t="shared" si="56"/>
        <v>42.821162979999997</v>
      </c>
      <c r="AZ55" s="5">
        <f t="shared" ref="AZ55" si="57">AZ35</f>
        <v>41.974297755999999</v>
      </c>
      <c r="BA55" s="5"/>
      <c r="BB55" s="5"/>
      <c r="BQ55">
        <v>2015</v>
      </c>
      <c r="BR55" s="49">
        <v>280.58946742799998</v>
      </c>
      <c r="BS55" s="49">
        <v>47.022597420000004</v>
      </c>
      <c r="BT55" s="49">
        <v>3.7451988599999999</v>
      </c>
      <c r="BU55" s="49">
        <v>75.369298936000007</v>
      </c>
      <c r="BV55" s="49">
        <v>209.27767453599998</v>
      </c>
      <c r="BW55" s="49">
        <v>41.974297755999999</v>
      </c>
      <c r="BX55" s="49">
        <v>180.96192668399999</v>
      </c>
      <c r="BY55" s="49">
        <v>518.67282913199995</v>
      </c>
      <c r="BZ55" s="49">
        <v>181.37546449599998</v>
      </c>
      <c r="CA55" s="49">
        <v>125.64074134000001</v>
      </c>
      <c r="CB55" s="49">
        <v>396.96090343200001</v>
      </c>
      <c r="CC55" s="49">
        <v>147.86258895199998</v>
      </c>
      <c r="CD55" s="49">
        <v>84.493259895999998</v>
      </c>
      <c r="CE55" s="49">
        <v>161.45564210399999</v>
      </c>
      <c r="CF55" s="49">
        <v>36.592806056000001</v>
      </c>
      <c r="CG55" s="49">
        <v>208.29709303199999</v>
      </c>
      <c r="CH55" s="49">
        <v>18.329444836</v>
      </c>
      <c r="CI55" s="49">
        <v>33.531549419999997</v>
      </c>
    </row>
    <row r="56" spans="6:87" x14ac:dyDescent="0.2">
      <c r="F56" t="str">
        <f t="shared" si="51"/>
        <v>324</v>
      </c>
      <c r="G56" s="5">
        <f t="shared" ref="G56:M56" si="58">G36</f>
        <v>75.005281332783184</v>
      </c>
      <c r="H56" s="5">
        <f t="shared" si="58"/>
        <v>80.509696332573895</v>
      </c>
      <c r="I56" s="5">
        <f t="shared" si="58"/>
        <v>84.700773717477233</v>
      </c>
      <c r="J56" s="5">
        <f t="shared" si="58"/>
        <v>88.748814332442336</v>
      </c>
      <c r="K56" s="5">
        <f t="shared" si="58"/>
        <v>92.967898917053859</v>
      </c>
      <c r="L56" s="5">
        <f t="shared" si="58"/>
        <v>90.097160946964934</v>
      </c>
      <c r="M56" s="5">
        <f t="shared" si="58"/>
        <v>94.582313928804211</v>
      </c>
      <c r="N56" s="5">
        <f t="shared" si="51"/>
        <v>102.90945455632693</v>
      </c>
      <c r="O56" s="5">
        <f t="shared" si="51"/>
        <v>103.28054995246039</v>
      </c>
      <c r="P56" s="5">
        <f t="shared" si="51"/>
        <v>107.74569779165097</v>
      </c>
      <c r="Q56" s="5">
        <f t="shared" si="51"/>
        <v>109.93626091168396</v>
      </c>
      <c r="R56" s="5">
        <f t="shared" si="51"/>
        <v>111.07655404266006</v>
      </c>
      <c r="S56" s="5">
        <f t="shared" si="51"/>
        <v>116.66999192723749</v>
      </c>
      <c r="T56" s="5">
        <f t="shared" si="51"/>
        <v>114.14034163930897</v>
      </c>
      <c r="U56" s="5">
        <f t="shared" si="51"/>
        <v>118.75852881976211</v>
      </c>
      <c r="V56" s="5">
        <f t="shared" si="51"/>
        <v>119.90803231841366</v>
      </c>
      <c r="W56" s="5">
        <f t="shared" si="51"/>
        <v>126.48259921823126</v>
      </c>
      <c r="X56" s="5">
        <f t="shared" si="51"/>
        <v>114.14641279999999</v>
      </c>
      <c r="Y56" s="5">
        <f t="shared" si="51"/>
        <v>117.47174800000001</v>
      </c>
      <c r="Z56" s="5">
        <f t="shared" si="51"/>
        <v>116.4321116</v>
      </c>
      <c r="AA56" s="5">
        <f t="shared" si="51"/>
        <v>120.3296392</v>
      </c>
      <c r="AB56" s="5">
        <f t="shared" si="51"/>
        <v>119.63222639999999</v>
      </c>
      <c r="AC56" s="5">
        <f t="shared" si="51"/>
        <v>120.65616759999999</v>
      </c>
      <c r="AD56" s="5">
        <f t="shared" si="51"/>
        <v>116.03256639999999</v>
      </c>
      <c r="AE56" s="5">
        <f t="shared" si="51"/>
        <v>119.13475679999999</v>
      </c>
      <c r="AF56" s="5">
        <f t="shared" si="51"/>
        <v>121.335838</v>
      </c>
      <c r="AG56" s="5">
        <f t="shared" si="51"/>
        <v>121.163532</v>
      </c>
      <c r="AH56" s="5">
        <f t="shared" si="51"/>
        <v>118.26324158200001</v>
      </c>
      <c r="AI56" s="5">
        <f t="shared" si="51"/>
        <v>115.36295116400001</v>
      </c>
      <c r="AJ56" s="5">
        <f t="shared" si="51"/>
        <v>113.69422044</v>
      </c>
      <c r="AK56" s="5">
        <f t="shared" si="51"/>
        <v>134.34793673600001</v>
      </c>
      <c r="AL56" s="5">
        <f t="shared" si="51"/>
        <v>141.62263805199999</v>
      </c>
      <c r="AM56" s="5">
        <f t="shared" si="51"/>
        <v>133.38386248799998</v>
      </c>
      <c r="AN56" s="5">
        <f t="shared" si="51"/>
        <v>136.040435452</v>
      </c>
      <c r="AO56" s="5">
        <f t="shared" si="51"/>
        <v>146.70073129999997</v>
      </c>
      <c r="AP56" s="5">
        <f t="shared" si="51"/>
        <v>167.58738483599998</v>
      </c>
      <c r="AQ56" s="5">
        <f t="shared" si="51"/>
        <v>168.53377468799999</v>
      </c>
      <c r="AR56" s="5">
        <f t="shared" si="51"/>
        <v>167.6105762</v>
      </c>
      <c r="AS56" s="5">
        <f t="shared" si="51"/>
        <v>172.90319212399999</v>
      </c>
      <c r="AT56" s="5">
        <f t="shared" si="51"/>
        <v>163.05532759599998</v>
      </c>
      <c r="AU56" s="5">
        <f t="shared" si="51"/>
        <v>164.91379281599998</v>
      </c>
      <c r="AV56" s="5">
        <f t="shared" ref="AV56:AY56" si="59">AV36</f>
        <v>171.975315784</v>
      </c>
      <c r="AW56" s="5">
        <f t="shared" si="59"/>
        <v>174.67706704</v>
      </c>
      <c r="AX56" s="5">
        <f t="shared" si="59"/>
        <v>175.214051012</v>
      </c>
      <c r="AY56" s="5">
        <f t="shared" si="59"/>
        <v>181.76113991600002</v>
      </c>
      <c r="AZ56" s="5">
        <f t="shared" ref="AZ56" si="60">AZ36</f>
        <v>180.96192668399999</v>
      </c>
      <c r="BA56" s="5"/>
      <c r="BB56" s="5"/>
      <c r="BQ56">
        <v>2016</v>
      </c>
      <c r="BR56" s="49">
        <v>285.16332166799998</v>
      </c>
      <c r="BS56" s="49">
        <v>44.523338128000006</v>
      </c>
      <c r="BT56" s="49">
        <v>3.5861518919999993</v>
      </c>
      <c r="BU56" s="49">
        <v>74.28565797200001</v>
      </c>
      <c r="BV56" s="49">
        <v>207.62067768</v>
      </c>
      <c r="BW56" s="49">
        <v>41.508273148000001</v>
      </c>
      <c r="BX56" s="49">
        <v>179.61001039600001</v>
      </c>
      <c r="BY56" s="49">
        <v>493.08530624400004</v>
      </c>
      <c r="BZ56" s="49">
        <v>179.65944003999999</v>
      </c>
      <c r="CA56" s="49">
        <v>126.29095253199999</v>
      </c>
      <c r="CB56" s="49">
        <v>332.5990304</v>
      </c>
      <c r="CC56" s="49">
        <v>143.28888484000001</v>
      </c>
      <c r="CD56" s="49">
        <v>83.189463043999993</v>
      </c>
      <c r="CE56" s="49">
        <v>165.44328744799998</v>
      </c>
      <c r="CF56" s="49">
        <v>34.956301671999995</v>
      </c>
      <c r="CG56" s="49">
        <v>214.03997353599999</v>
      </c>
      <c r="CH56" s="49">
        <v>18.839074804000003</v>
      </c>
      <c r="CI56" s="49">
        <v>33.142451764</v>
      </c>
    </row>
    <row r="57" spans="6:87" x14ac:dyDescent="0.2">
      <c r="F57" t="str">
        <f t="shared" si="51"/>
        <v>325</v>
      </c>
      <c r="G57" s="5">
        <f t="shared" ref="G57:M57" si="61">G37</f>
        <v>307.71763286030676</v>
      </c>
      <c r="H57" s="5">
        <f t="shared" si="61"/>
        <v>339.63013688506902</v>
      </c>
      <c r="I57" s="5">
        <f t="shared" si="61"/>
        <v>389.21899303889154</v>
      </c>
      <c r="J57" s="5">
        <f t="shared" si="61"/>
        <v>415.85896106974752</v>
      </c>
      <c r="K57" s="5">
        <f t="shared" si="61"/>
        <v>416.6583226238227</v>
      </c>
      <c r="L57" s="5">
        <f t="shared" si="61"/>
        <v>420.93444986989203</v>
      </c>
      <c r="M57" s="5">
        <f t="shared" si="61"/>
        <v>479.13142441099154</v>
      </c>
      <c r="N57" s="5">
        <f t="shared" si="51"/>
        <v>492.76729336074919</v>
      </c>
      <c r="O57" s="5">
        <f t="shared" si="51"/>
        <v>485.7629766175441</v>
      </c>
      <c r="P57" s="5">
        <f t="shared" si="51"/>
        <v>485.89298713713947</v>
      </c>
      <c r="Q57" s="5">
        <f t="shared" si="51"/>
        <v>445.86904553824206</v>
      </c>
      <c r="R57" s="5">
        <f t="shared" si="51"/>
        <v>443.64159968298549</v>
      </c>
      <c r="S57" s="5">
        <f t="shared" si="51"/>
        <v>404.67805638453848</v>
      </c>
      <c r="T57" s="5">
        <f t="shared" si="51"/>
        <v>428.97681935549195</v>
      </c>
      <c r="U57" s="5">
        <f t="shared" si="51"/>
        <v>461.3707685856312</v>
      </c>
      <c r="V57" s="5">
        <f t="shared" si="51"/>
        <v>436.18818800822464</v>
      </c>
      <c r="W57" s="5">
        <f t="shared" si="51"/>
        <v>414.78711209278379</v>
      </c>
      <c r="X57" s="5">
        <f t="shared" si="51"/>
        <v>430.71601679865086</v>
      </c>
      <c r="Y57" s="5">
        <f t="shared" si="51"/>
        <v>436.09388806745358</v>
      </c>
      <c r="Z57" s="5">
        <f t="shared" si="51"/>
        <v>461.83742461517704</v>
      </c>
      <c r="AA57" s="5">
        <f t="shared" si="51"/>
        <v>490.50716601146706</v>
      </c>
      <c r="AB57" s="5">
        <f t="shared" si="51"/>
        <v>496.71773098954463</v>
      </c>
      <c r="AC57" s="5">
        <f t="shared" si="51"/>
        <v>495.33325646542994</v>
      </c>
      <c r="AD57" s="5">
        <f t="shared" si="51"/>
        <v>505.41737125666094</v>
      </c>
      <c r="AE57" s="5">
        <f t="shared" si="51"/>
        <v>529.47404492411465</v>
      </c>
      <c r="AF57" s="5">
        <f t="shared" si="51"/>
        <v>523.466804075548</v>
      </c>
      <c r="AG57" s="5">
        <f t="shared" si="51"/>
        <v>548.79503290387856</v>
      </c>
      <c r="AH57" s="5">
        <f t="shared" si="51"/>
        <v>535.96464723600002</v>
      </c>
      <c r="AI57" s="5">
        <f t="shared" si="51"/>
        <v>520.46306800000002</v>
      </c>
      <c r="AJ57" s="5">
        <f t="shared" si="51"/>
        <v>542.14351992399997</v>
      </c>
      <c r="AK57" s="5">
        <f t="shared" si="51"/>
        <v>555.82240193600001</v>
      </c>
      <c r="AL57" s="5">
        <f t="shared" si="51"/>
        <v>518.00046382400001</v>
      </c>
      <c r="AM57" s="5">
        <f t="shared" si="51"/>
        <v>505.95882659999995</v>
      </c>
      <c r="AN57" s="5">
        <f t="shared" si="51"/>
        <v>541.32503912800007</v>
      </c>
      <c r="AO57" s="5">
        <f t="shared" si="51"/>
        <v>534.51343151200001</v>
      </c>
      <c r="AP57" s="5">
        <f t="shared" si="51"/>
        <v>521.76233371599994</v>
      </c>
      <c r="AQ57" s="5">
        <f t="shared" si="51"/>
        <v>532.21748647599998</v>
      </c>
      <c r="AR57" s="5">
        <f t="shared" si="51"/>
        <v>550.50749882799994</v>
      </c>
      <c r="AS57" s="5">
        <f t="shared" si="51"/>
        <v>536.77850136000006</v>
      </c>
      <c r="AT57" s="5">
        <f t="shared" si="51"/>
        <v>469.80293055599998</v>
      </c>
      <c r="AU57" s="5">
        <f t="shared" si="51"/>
        <v>509.31938387599996</v>
      </c>
      <c r="AV57" s="5">
        <f t="shared" ref="AV57:AY57" si="62">AV37</f>
        <v>529.71076855199999</v>
      </c>
      <c r="AW57" s="5">
        <f t="shared" si="62"/>
        <v>540.27317753199998</v>
      </c>
      <c r="AX57" s="5">
        <f t="shared" si="62"/>
        <v>529.74683339199998</v>
      </c>
      <c r="AY57" s="5">
        <f t="shared" si="62"/>
        <v>522.15054083999996</v>
      </c>
      <c r="AZ57" s="5">
        <f t="shared" ref="AZ57" si="63">AZ37</f>
        <v>518.67282913199995</v>
      </c>
      <c r="BA57" s="5"/>
      <c r="BB57" s="5"/>
      <c r="BQ57">
        <v>2017</v>
      </c>
      <c r="BR57" s="49">
        <v>281.55283880399998</v>
      </c>
      <c r="BS57" s="49">
        <v>41.625352516</v>
      </c>
      <c r="BT57" s="49">
        <v>3.2827670879999999</v>
      </c>
      <c r="BU57" s="49">
        <v>69.652974028000003</v>
      </c>
      <c r="BV57" s="49">
        <v>193.77859288400001</v>
      </c>
      <c r="BW57" s="49">
        <v>34.702370395999999</v>
      </c>
      <c r="BX57" s="49">
        <v>192.05447175200001</v>
      </c>
      <c r="BY57" s="49">
        <v>503.75010251999998</v>
      </c>
      <c r="BZ57" s="49">
        <v>168.140862416</v>
      </c>
      <c r="CA57" s="49">
        <v>124.541934036</v>
      </c>
      <c r="CB57" s="49">
        <v>331.84799801999998</v>
      </c>
      <c r="CC57" s="49">
        <v>136.667445044</v>
      </c>
      <c r="CD57" s="49">
        <v>80.275877767999987</v>
      </c>
      <c r="CE57" s="49">
        <v>161.63330153200002</v>
      </c>
      <c r="CF57" s="49">
        <v>32.039222507999995</v>
      </c>
      <c r="CG57" s="49">
        <v>199.60534375999998</v>
      </c>
      <c r="CH57" s="49">
        <v>17.329742484000001</v>
      </c>
      <c r="CI57" s="49">
        <v>28.245211575999999</v>
      </c>
    </row>
    <row r="75" spans="6:54" x14ac:dyDescent="0.2">
      <c r="G75">
        <v>1970</v>
      </c>
      <c r="H75">
        <v>1971</v>
      </c>
      <c r="I75">
        <v>1972</v>
      </c>
      <c r="J75">
        <v>1973</v>
      </c>
      <c r="K75">
        <v>1974</v>
      </c>
      <c r="L75">
        <v>1975</v>
      </c>
      <c r="M75">
        <v>1976</v>
      </c>
      <c r="N75">
        <f>N53</f>
        <v>1977</v>
      </c>
      <c r="O75">
        <f t="shared" ref="O75:AS75" si="64">O53</f>
        <v>1978</v>
      </c>
      <c r="P75">
        <f t="shared" si="64"/>
        <v>1979</v>
      </c>
      <c r="Q75">
        <f t="shared" si="64"/>
        <v>1980</v>
      </c>
      <c r="R75">
        <f t="shared" si="64"/>
        <v>1981</v>
      </c>
      <c r="S75">
        <f t="shared" si="64"/>
        <v>1982</v>
      </c>
      <c r="T75">
        <f t="shared" si="64"/>
        <v>1983</v>
      </c>
      <c r="U75">
        <f t="shared" si="64"/>
        <v>1984</v>
      </c>
      <c r="V75">
        <f t="shared" si="64"/>
        <v>1985</v>
      </c>
      <c r="W75">
        <f t="shared" si="64"/>
        <v>1986</v>
      </c>
      <c r="X75">
        <f t="shared" si="64"/>
        <v>1987</v>
      </c>
      <c r="Y75">
        <f t="shared" si="64"/>
        <v>1988</v>
      </c>
      <c r="Z75">
        <f t="shared" si="64"/>
        <v>1989</v>
      </c>
      <c r="AA75">
        <f t="shared" si="64"/>
        <v>1990</v>
      </c>
      <c r="AB75">
        <f t="shared" si="64"/>
        <v>1991</v>
      </c>
      <c r="AC75">
        <f t="shared" si="64"/>
        <v>1992</v>
      </c>
      <c r="AD75">
        <f t="shared" si="64"/>
        <v>1993</v>
      </c>
      <c r="AE75">
        <f t="shared" si="64"/>
        <v>1994</v>
      </c>
      <c r="AF75">
        <f t="shared" si="64"/>
        <v>1995</v>
      </c>
      <c r="AG75">
        <f t="shared" si="64"/>
        <v>1996</v>
      </c>
      <c r="AH75">
        <f t="shared" si="64"/>
        <v>1997</v>
      </c>
      <c r="AI75">
        <f t="shared" si="64"/>
        <v>1998</v>
      </c>
      <c r="AJ75">
        <f t="shared" si="64"/>
        <v>1999</v>
      </c>
      <c r="AK75">
        <f t="shared" si="64"/>
        <v>2000</v>
      </c>
      <c r="AL75">
        <f t="shared" si="64"/>
        <v>2001</v>
      </c>
      <c r="AM75">
        <f t="shared" si="64"/>
        <v>2002</v>
      </c>
      <c r="AN75">
        <f t="shared" si="64"/>
        <v>2003</v>
      </c>
      <c r="AO75">
        <f t="shared" si="64"/>
        <v>2004</v>
      </c>
      <c r="AP75">
        <f t="shared" si="64"/>
        <v>2005</v>
      </c>
      <c r="AQ75">
        <f t="shared" si="64"/>
        <v>2006</v>
      </c>
      <c r="AR75">
        <f t="shared" si="64"/>
        <v>2007</v>
      </c>
      <c r="AS75">
        <f t="shared" si="64"/>
        <v>2008</v>
      </c>
      <c r="AT75">
        <f>AT53</f>
        <v>2009</v>
      </c>
      <c r="AU75">
        <f>AU53</f>
        <v>2010</v>
      </c>
      <c r="AV75">
        <f>AV53</f>
        <v>2011</v>
      </c>
      <c r="AW75">
        <v>2012</v>
      </c>
      <c r="AX75">
        <v>2013</v>
      </c>
      <c r="AY75">
        <v>2014</v>
      </c>
      <c r="AZ75">
        <v>2015</v>
      </c>
    </row>
    <row r="76" spans="6:54" x14ac:dyDescent="0.2">
      <c r="F76" t="str">
        <f t="shared" ref="F76:AU79" si="65">F38</f>
        <v>326</v>
      </c>
      <c r="G76" s="66">
        <f t="shared" ref="G76:M76" si="66">G38</f>
        <v>49.600380017543152</v>
      </c>
      <c r="H76" s="66">
        <f t="shared" si="66"/>
        <v>53.826868551945594</v>
      </c>
      <c r="I76" s="66">
        <f t="shared" si="66"/>
        <v>60.348937719884226</v>
      </c>
      <c r="J76" s="66">
        <f t="shared" si="66"/>
        <v>66.703824482228868</v>
      </c>
      <c r="K76" s="66">
        <f t="shared" si="66"/>
        <v>63.294672152952593</v>
      </c>
      <c r="L76" s="66">
        <f t="shared" si="66"/>
        <v>62.690469073086597</v>
      </c>
      <c r="M76" s="66">
        <f t="shared" si="66"/>
        <v>65.882577577556631</v>
      </c>
      <c r="N76" s="66">
        <f t="shared" si="65"/>
        <v>75.246747640593085</v>
      </c>
      <c r="O76" s="66">
        <f t="shared" si="65"/>
        <v>76.62526923057861</v>
      </c>
      <c r="P76" s="66">
        <f t="shared" si="65"/>
        <v>76.185315531647063</v>
      </c>
      <c r="Q76" s="66">
        <f t="shared" si="65"/>
        <v>72.257017837631565</v>
      </c>
      <c r="R76" s="66">
        <f t="shared" si="65"/>
        <v>76.434622627708279</v>
      </c>
      <c r="S76" s="66">
        <f t="shared" si="65"/>
        <v>102.73309940006341</v>
      </c>
      <c r="T76" s="66">
        <f t="shared" si="65"/>
        <v>106.87941859377166</v>
      </c>
      <c r="U76" s="66">
        <f t="shared" si="65"/>
        <v>98.576025782603509</v>
      </c>
      <c r="V76" s="66">
        <f t="shared" si="65"/>
        <v>100.41672362169106</v>
      </c>
      <c r="W76" s="66">
        <f t="shared" si="65"/>
        <v>104.1491801306292</v>
      </c>
      <c r="X76" s="66">
        <f t="shared" si="65"/>
        <v>110.34914765901638</v>
      </c>
      <c r="Y76" s="66">
        <f t="shared" si="65"/>
        <v>116.07783040218577</v>
      </c>
      <c r="Z76" s="66">
        <f t="shared" si="65"/>
        <v>118.75510933989071</v>
      </c>
      <c r="AA76" s="66">
        <f t="shared" si="65"/>
        <v>122.40925133551912</v>
      </c>
      <c r="AB76" s="66">
        <f t="shared" si="65"/>
        <v>120.58301469289617</v>
      </c>
      <c r="AC76" s="66">
        <f t="shared" si="65"/>
        <v>126.47322860109288</v>
      </c>
      <c r="AD76" s="66">
        <f t="shared" si="65"/>
        <v>138.51030407431693</v>
      </c>
      <c r="AE76" s="66">
        <f t="shared" si="65"/>
        <v>147.55271189508196</v>
      </c>
      <c r="AF76" s="66">
        <f t="shared" si="65"/>
        <v>154.46017165245902</v>
      </c>
      <c r="AG76" s="66">
        <f t="shared" si="65"/>
        <v>166.77825795409836</v>
      </c>
      <c r="AH76" s="66">
        <f t="shared" si="65"/>
        <v>170.17742038799997</v>
      </c>
      <c r="AI76" s="66">
        <f t="shared" si="65"/>
        <v>171.04344057999998</v>
      </c>
      <c r="AJ76" s="66">
        <f t="shared" si="65"/>
        <v>180.8895684</v>
      </c>
      <c r="AK76" s="66">
        <f t="shared" si="65"/>
        <v>186.67535139199998</v>
      </c>
      <c r="AL76" s="66">
        <f t="shared" si="65"/>
        <v>188.27252565200001</v>
      </c>
      <c r="AM76" s="66">
        <f t="shared" si="65"/>
        <v>184.49908566799999</v>
      </c>
      <c r="AN76" s="66">
        <f t="shared" si="65"/>
        <v>189.65162875599998</v>
      </c>
      <c r="AO76" s="66">
        <f t="shared" si="65"/>
        <v>216.57722544799998</v>
      </c>
      <c r="AP76" s="66">
        <f t="shared" si="65"/>
        <v>223.40631956399997</v>
      </c>
      <c r="AQ76" s="66">
        <f t="shared" si="65"/>
        <v>220.01886207999999</v>
      </c>
      <c r="AR76" s="66">
        <f t="shared" si="65"/>
        <v>207.53010613999999</v>
      </c>
      <c r="AS76" s="66">
        <f t="shared" si="65"/>
        <v>199.834729108</v>
      </c>
      <c r="AT76" s="66">
        <f t="shared" si="65"/>
        <v>163.97076378400001</v>
      </c>
      <c r="AU76" s="66">
        <f t="shared" si="65"/>
        <v>171.66115588400001</v>
      </c>
      <c r="AV76" s="66">
        <f t="shared" ref="AV76:AY76" si="67">AV38</f>
        <v>175.84163040799999</v>
      </c>
      <c r="AW76" s="66">
        <f t="shared" si="67"/>
        <v>178.53335720800001</v>
      </c>
      <c r="AX76" s="66">
        <f t="shared" si="67"/>
        <v>179.59327794799998</v>
      </c>
      <c r="AY76" s="66">
        <f t="shared" si="67"/>
        <v>178.72704962399999</v>
      </c>
      <c r="AZ76" s="66">
        <f t="shared" ref="AZ76" si="68">AZ38</f>
        <v>181.37546449599998</v>
      </c>
      <c r="BA76" s="66"/>
      <c r="BB76" s="66"/>
    </row>
    <row r="77" spans="6:54" x14ac:dyDescent="0.2">
      <c r="F77" t="str">
        <f t="shared" si="65"/>
        <v>327</v>
      </c>
      <c r="G77" s="66">
        <f t="shared" ref="G77:M77" si="69">G39</f>
        <v>83.09963951188027</v>
      </c>
      <c r="H77" s="66">
        <f t="shared" si="69"/>
        <v>85.36480021614156</v>
      </c>
      <c r="I77" s="66">
        <f t="shared" si="69"/>
        <v>93.019861225102431</v>
      </c>
      <c r="J77" s="66">
        <f t="shared" si="69"/>
        <v>97.93789479308947</v>
      </c>
      <c r="K77" s="66">
        <f t="shared" si="69"/>
        <v>99.178172967293563</v>
      </c>
      <c r="L77" s="66">
        <f t="shared" si="69"/>
        <v>95.025545316182075</v>
      </c>
      <c r="M77" s="66">
        <f t="shared" si="69"/>
        <v>99.937567842937113</v>
      </c>
      <c r="N77" s="66">
        <f t="shared" si="65"/>
        <v>105.71017110607445</v>
      </c>
      <c r="O77" s="66">
        <f t="shared" si="65"/>
        <v>111.96265582756705</v>
      </c>
      <c r="P77" s="66">
        <f t="shared" si="65"/>
        <v>112.75410958978128</v>
      </c>
      <c r="Q77" s="66">
        <f t="shared" si="65"/>
        <v>104.2765377722408</v>
      </c>
      <c r="R77" s="66">
        <f t="shared" si="65"/>
        <v>102.92004613421788</v>
      </c>
      <c r="S77" s="66">
        <f t="shared" si="65"/>
        <v>95.280012728337027</v>
      </c>
      <c r="T77" s="66">
        <f t="shared" si="65"/>
        <v>95.532476460081341</v>
      </c>
      <c r="U77" s="66">
        <f t="shared" si="65"/>
        <v>102.69563392822297</v>
      </c>
      <c r="V77" s="66">
        <f t="shared" si="65"/>
        <v>104.31492989185355</v>
      </c>
      <c r="W77" s="66">
        <f t="shared" si="65"/>
        <v>108.11468858436993</v>
      </c>
      <c r="X77" s="66">
        <f t="shared" si="65"/>
        <v>113.86799359999998</v>
      </c>
      <c r="Y77" s="66">
        <f t="shared" si="65"/>
        <v>116.29324320000001</v>
      </c>
      <c r="Z77" s="66">
        <f t="shared" si="65"/>
        <v>113.7366316</v>
      </c>
      <c r="AA77" s="66">
        <f t="shared" si="65"/>
        <v>115.537144</v>
      </c>
      <c r="AB77" s="66">
        <f t="shared" si="65"/>
        <v>112.2251156</v>
      </c>
      <c r="AC77" s="66">
        <f t="shared" si="65"/>
        <v>115.1096204</v>
      </c>
      <c r="AD77" s="66">
        <f t="shared" si="65"/>
        <v>117.2912532</v>
      </c>
      <c r="AE77" s="66">
        <f t="shared" si="65"/>
        <v>119.70421959999999</v>
      </c>
      <c r="AF77" s="66">
        <f t="shared" si="65"/>
        <v>123.5822988</v>
      </c>
      <c r="AG77" s="66">
        <f t="shared" si="65"/>
        <v>127.288072</v>
      </c>
      <c r="AH77" s="66">
        <f t="shared" si="65"/>
        <v>128.38429642</v>
      </c>
      <c r="AI77" s="66">
        <f t="shared" si="65"/>
        <v>131.55392499999999</v>
      </c>
      <c r="AJ77" s="66">
        <f t="shared" si="65"/>
        <v>137.15007926800001</v>
      </c>
      <c r="AK77" s="66">
        <f t="shared" si="65"/>
        <v>140.30935583999999</v>
      </c>
      <c r="AL77" s="66">
        <f t="shared" si="65"/>
        <v>140.31999104400001</v>
      </c>
      <c r="AM77" s="66">
        <f t="shared" si="65"/>
        <v>139.16903131999999</v>
      </c>
      <c r="AN77" s="66">
        <f t="shared" si="65"/>
        <v>139.718660164</v>
      </c>
      <c r="AO77" s="66">
        <f t="shared" si="65"/>
        <v>151.96005633999999</v>
      </c>
      <c r="AP77" s="66">
        <f t="shared" si="65"/>
        <v>158.331884452</v>
      </c>
      <c r="AQ77" s="66">
        <f t="shared" si="65"/>
        <v>157.69310346</v>
      </c>
      <c r="AR77" s="66">
        <f t="shared" si="65"/>
        <v>156.99244243599998</v>
      </c>
      <c r="AS77" s="66">
        <f t="shared" si="65"/>
        <v>148.58574188</v>
      </c>
      <c r="AT77" s="66">
        <f t="shared" si="65"/>
        <v>117.327584176</v>
      </c>
      <c r="AU77" s="66">
        <f t="shared" si="65"/>
        <v>120.60719175200001</v>
      </c>
      <c r="AV77" s="66">
        <f t="shared" ref="AV77:AY77" si="70">AV39</f>
        <v>120.78136070399999</v>
      </c>
      <c r="AW77" s="66">
        <f t="shared" si="70"/>
        <v>120.404798736</v>
      </c>
      <c r="AX77" s="66">
        <f t="shared" si="70"/>
        <v>119.71339788</v>
      </c>
      <c r="AY77" s="66">
        <f t="shared" si="70"/>
        <v>121.96623911999998</v>
      </c>
      <c r="AZ77" s="66">
        <f t="shared" ref="AZ77" si="71">AZ39</f>
        <v>125.64074134000001</v>
      </c>
      <c r="BA77" s="66"/>
      <c r="BB77" s="66"/>
    </row>
    <row r="78" spans="6:54" x14ac:dyDescent="0.2">
      <c r="F78" t="str">
        <f t="shared" si="65"/>
        <v>331</v>
      </c>
      <c r="G78" s="66">
        <f t="shared" ref="G78:M78" si="72">G40</f>
        <v>426.50175179106191</v>
      </c>
      <c r="H78" s="66">
        <f t="shared" si="72"/>
        <v>411.16701485644825</v>
      </c>
      <c r="I78" s="66">
        <f t="shared" si="72"/>
        <v>439.78238163247892</v>
      </c>
      <c r="J78" s="66">
        <f t="shared" si="72"/>
        <v>517.83358362160118</v>
      </c>
      <c r="K78" s="66">
        <f t="shared" si="72"/>
        <v>562.96552904368673</v>
      </c>
      <c r="L78" s="66">
        <f t="shared" si="72"/>
        <v>477.02013064758233</v>
      </c>
      <c r="M78" s="66">
        <f t="shared" si="72"/>
        <v>513.3155215270391</v>
      </c>
      <c r="N78" s="66">
        <f t="shared" si="65"/>
        <v>546.84224862779843</v>
      </c>
      <c r="O78" s="66">
        <f t="shared" si="65"/>
        <v>570.97167915480054</v>
      </c>
      <c r="P78" s="66">
        <f t="shared" si="65"/>
        <v>594.40115565336237</v>
      </c>
      <c r="Q78" s="66">
        <f t="shared" si="65"/>
        <v>560.6368919977499</v>
      </c>
      <c r="R78" s="66">
        <f t="shared" si="65"/>
        <v>565.61834507636979</v>
      </c>
      <c r="S78" s="66">
        <f t="shared" si="65"/>
        <v>409.27743103280136</v>
      </c>
      <c r="T78" s="66">
        <f t="shared" si="65"/>
        <v>399.59100184924336</v>
      </c>
      <c r="U78" s="66">
        <f t="shared" si="65"/>
        <v>477.04349489887937</v>
      </c>
      <c r="V78" s="66">
        <f t="shared" si="65"/>
        <v>442.28070778392737</v>
      </c>
      <c r="W78" s="66">
        <f t="shared" si="65"/>
        <v>416.67634970436404</v>
      </c>
      <c r="X78" s="66">
        <f t="shared" si="65"/>
        <v>434.03147016125655</v>
      </c>
      <c r="Y78" s="66">
        <f t="shared" si="65"/>
        <v>499.72452113089003</v>
      </c>
      <c r="Z78" s="66">
        <f t="shared" si="65"/>
        <v>488.47492132774869</v>
      </c>
      <c r="AA78" s="66">
        <f t="shared" si="65"/>
        <v>494.40657078534031</v>
      </c>
      <c r="AB78" s="66">
        <f t="shared" si="65"/>
        <v>490.50840187225128</v>
      </c>
      <c r="AC78" s="66">
        <f t="shared" si="65"/>
        <v>478.26664963350788</v>
      </c>
      <c r="AD78" s="66">
        <f t="shared" si="65"/>
        <v>470.67033718115181</v>
      </c>
      <c r="AE78" s="66">
        <f t="shared" si="65"/>
        <v>475.66366162931934</v>
      </c>
      <c r="AF78" s="66">
        <f t="shared" si="65"/>
        <v>470.03205023246073</v>
      </c>
      <c r="AG78" s="66">
        <f t="shared" si="65"/>
        <v>479.4804248670157</v>
      </c>
      <c r="AH78" s="66">
        <f t="shared" si="65"/>
        <v>452.448700148</v>
      </c>
      <c r="AI78" s="66">
        <f t="shared" si="65"/>
        <v>444.10567774799995</v>
      </c>
      <c r="AJ78" s="66">
        <f t="shared" si="65"/>
        <v>456.774188084</v>
      </c>
      <c r="AK78" s="66">
        <f t="shared" si="65"/>
        <v>467.44607449599999</v>
      </c>
      <c r="AL78" s="66">
        <f t="shared" si="65"/>
        <v>424.81313449599998</v>
      </c>
      <c r="AM78" s="66">
        <f t="shared" si="65"/>
        <v>450.38293204399997</v>
      </c>
      <c r="AN78" s="66">
        <f t="shared" si="65"/>
        <v>428.65577325199996</v>
      </c>
      <c r="AO78" s="66">
        <f t="shared" si="65"/>
        <v>439.55877489599999</v>
      </c>
      <c r="AP78" s="66">
        <f t="shared" si="65"/>
        <v>456.79283125199998</v>
      </c>
      <c r="AQ78" s="66">
        <f t="shared" si="65"/>
        <v>443.67349676800001</v>
      </c>
      <c r="AR78" s="66">
        <f t="shared" si="65"/>
        <v>466.72509842399995</v>
      </c>
      <c r="AS78" s="66">
        <f t="shared" si="65"/>
        <v>473.65823124400004</v>
      </c>
      <c r="AT78" s="66">
        <f t="shared" si="65"/>
        <v>354.88301735599998</v>
      </c>
      <c r="AU78" s="66">
        <f t="shared" si="65"/>
        <v>403.28624645599996</v>
      </c>
      <c r="AV78" s="66">
        <f t="shared" ref="AV78:AY78" si="73">AV40</f>
        <v>465.72311003200002</v>
      </c>
      <c r="AW78" s="66">
        <f t="shared" si="73"/>
        <v>454.57251319599999</v>
      </c>
      <c r="AX78" s="66">
        <f t="shared" si="73"/>
        <v>418.22865689599996</v>
      </c>
      <c r="AY78" s="66">
        <f t="shared" si="73"/>
        <v>405.70103486399995</v>
      </c>
      <c r="AZ78" s="66">
        <f t="shared" ref="AZ78" si="74">AZ40</f>
        <v>396.96090343200001</v>
      </c>
      <c r="BA78" s="66"/>
      <c r="BB78" s="66"/>
    </row>
    <row r="79" spans="6:54" x14ac:dyDescent="0.2">
      <c r="F79" t="str">
        <f t="shared" si="65"/>
        <v>332</v>
      </c>
      <c r="G79" s="66">
        <f t="shared" ref="G79:M79" si="75">G41</f>
        <v>88.207733644374215</v>
      </c>
      <c r="H79" s="66">
        <f t="shared" si="75"/>
        <v>85.11641875877983</v>
      </c>
      <c r="I79" s="66">
        <f t="shared" si="75"/>
        <v>89.536101378028846</v>
      </c>
      <c r="J79" s="66">
        <f t="shared" si="75"/>
        <v>95.312741402814737</v>
      </c>
      <c r="K79" s="66">
        <f t="shared" si="75"/>
        <v>93.567265093831494</v>
      </c>
      <c r="L79" s="66">
        <f t="shared" si="75"/>
        <v>91.456613034538748</v>
      </c>
      <c r="M79" s="66">
        <f t="shared" si="75"/>
        <v>96.333721148603033</v>
      </c>
      <c r="N79" s="66">
        <f t="shared" si="65"/>
        <v>98.450059104997237</v>
      </c>
      <c r="O79" s="66">
        <f t="shared" si="65"/>
        <v>99.68694956190491</v>
      </c>
      <c r="P79" s="66">
        <f t="shared" si="65"/>
        <v>100.54861346665994</v>
      </c>
      <c r="Q79" s="66">
        <f t="shared" si="65"/>
        <v>98.257936313930443</v>
      </c>
      <c r="R79" s="66">
        <f t="shared" si="65"/>
        <v>98.168027240306643</v>
      </c>
      <c r="S79" s="66">
        <f t="shared" si="65"/>
        <v>98.27917660387196</v>
      </c>
      <c r="T79" s="66">
        <f t="shared" si="65"/>
        <v>93.823028041871936</v>
      </c>
      <c r="U79" s="66">
        <f t="shared" si="65"/>
        <v>103.75610658890153</v>
      </c>
      <c r="V79" s="66">
        <f t="shared" si="65"/>
        <v>101.88131778091361</v>
      </c>
      <c r="W79" s="66">
        <f t="shared" si="65"/>
        <v>98.889662395434385</v>
      </c>
      <c r="X79" s="66">
        <f t="shared" si="65"/>
        <v>111.79253633733873</v>
      </c>
      <c r="Y79" s="66">
        <f t="shared" si="65"/>
        <v>118.75029238507044</v>
      </c>
      <c r="Z79" s="66">
        <f t="shared" si="65"/>
        <v>120.58309233333516</v>
      </c>
      <c r="AA79" s="66">
        <f t="shared" si="65"/>
        <v>120.9145451690495</v>
      </c>
      <c r="AB79" s="66">
        <f t="shared" si="65"/>
        <v>118.55444953613846</v>
      </c>
      <c r="AC79" s="66">
        <f t="shared" si="65"/>
        <v>114.50817795082392</v>
      </c>
      <c r="AD79" s="66">
        <f t="shared" si="65"/>
        <v>121.96741559942353</v>
      </c>
      <c r="AE79" s="66">
        <f t="shared" si="65"/>
        <v>123.24366390142647</v>
      </c>
      <c r="AF79" s="66">
        <f t="shared" si="65"/>
        <v>130.09231242172157</v>
      </c>
      <c r="AG79" s="66">
        <f t="shared" si="65"/>
        <v>135.3525343201872</v>
      </c>
      <c r="AH79" s="66">
        <f t="shared" si="65"/>
        <v>141.63235883999999</v>
      </c>
      <c r="AI79" s="66">
        <f t="shared" si="65"/>
        <v>145.711790396</v>
      </c>
      <c r="AJ79" s="66">
        <f t="shared" si="65"/>
        <v>154.172833876</v>
      </c>
      <c r="AK79" s="66">
        <f t="shared" si="65"/>
        <v>159.80022841600001</v>
      </c>
      <c r="AL79" s="66">
        <f t="shared" si="65"/>
        <v>156.85912877199999</v>
      </c>
      <c r="AM79" s="66">
        <f t="shared" si="65"/>
        <v>139.449968576</v>
      </c>
      <c r="AN79" s="66">
        <f t="shared" si="65"/>
        <v>144.44251274799998</v>
      </c>
      <c r="AO79" s="66">
        <f t="shared" si="65"/>
        <v>168.11313650400001</v>
      </c>
      <c r="AP79" s="66">
        <f t="shared" si="65"/>
        <v>180.60769625599997</v>
      </c>
      <c r="AQ79" s="66">
        <f t="shared" si="65"/>
        <v>179.19403641600002</v>
      </c>
      <c r="AR79" s="66">
        <f t="shared" si="65"/>
        <v>162.483268264</v>
      </c>
      <c r="AS79" s="66">
        <f t="shared" si="65"/>
        <v>166.160735512</v>
      </c>
      <c r="AT79" s="66">
        <f t="shared" si="65"/>
        <v>128.06374925599999</v>
      </c>
      <c r="AU79" s="66">
        <f t="shared" si="65"/>
        <v>135.48137584</v>
      </c>
      <c r="AV79" s="66">
        <f t="shared" ref="AV79:AY79" si="76">AV41</f>
        <v>148.81893502</v>
      </c>
      <c r="AW79" s="66">
        <f t="shared" si="76"/>
        <v>141.51061867999999</v>
      </c>
      <c r="AX79" s="66">
        <f t="shared" si="76"/>
        <v>146.36505874000002</v>
      </c>
      <c r="AY79" s="66">
        <f t="shared" si="76"/>
        <v>149.814583916</v>
      </c>
      <c r="AZ79" s="66">
        <f t="shared" ref="AZ79" si="77">AZ41</f>
        <v>147.86258895199998</v>
      </c>
      <c r="BA79" s="66"/>
      <c r="BB79" s="66"/>
    </row>
    <row r="96" spans="7:52" x14ac:dyDescent="0.2">
      <c r="G96">
        <v>1970</v>
      </c>
      <c r="H96">
        <v>1971</v>
      </c>
      <c r="I96">
        <v>1972</v>
      </c>
      <c r="J96">
        <v>1973</v>
      </c>
      <c r="K96">
        <v>1974</v>
      </c>
      <c r="L96">
        <v>1975</v>
      </c>
      <c r="M96">
        <v>1976</v>
      </c>
      <c r="N96">
        <f>N75</f>
        <v>1977</v>
      </c>
      <c r="O96">
        <f t="shared" ref="O96:AS96" si="78">O75</f>
        <v>1978</v>
      </c>
      <c r="P96">
        <f t="shared" si="78"/>
        <v>1979</v>
      </c>
      <c r="Q96">
        <f t="shared" si="78"/>
        <v>1980</v>
      </c>
      <c r="R96">
        <f t="shared" si="78"/>
        <v>1981</v>
      </c>
      <c r="S96">
        <f t="shared" si="78"/>
        <v>1982</v>
      </c>
      <c r="T96">
        <f t="shared" si="78"/>
        <v>1983</v>
      </c>
      <c r="U96">
        <f t="shared" si="78"/>
        <v>1984</v>
      </c>
      <c r="V96">
        <f t="shared" si="78"/>
        <v>1985</v>
      </c>
      <c r="W96">
        <f t="shared" si="78"/>
        <v>1986</v>
      </c>
      <c r="X96">
        <f t="shared" si="78"/>
        <v>1987</v>
      </c>
      <c r="Y96">
        <f t="shared" si="78"/>
        <v>1988</v>
      </c>
      <c r="Z96">
        <f t="shared" si="78"/>
        <v>1989</v>
      </c>
      <c r="AA96">
        <f t="shared" si="78"/>
        <v>1990</v>
      </c>
      <c r="AB96">
        <f t="shared" si="78"/>
        <v>1991</v>
      </c>
      <c r="AC96">
        <f t="shared" si="78"/>
        <v>1992</v>
      </c>
      <c r="AD96">
        <f t="shared" si="78"/>
        <v>1993</v>
      </c>
      <c r="AE96">
        <f t="shared" si="78"/>
        <v>1994</v>
      </c>
      <c r="AF96">
        <f t="shared" si="78"/>
        <v>1995</v>
      </c>
      <c r="AG96">
        <f t="shared" si="78"/>
        <v>1996</v>
      </c>
      <c r="AH96">
        <f t="shared" si="78"/>
        <v>1997</v>
      </c>
      <c r="AI96">
        <f t="shared" si="78"/>
        <v>1998</v>
      </c>
      <c r="AJ96">
        <f t="shared" si="78"/>
        <v>1999</v>
      </c>
      <c r="AK96">
        <f t="shared" si="78"/>
        <v>2000</v>
      </c>
      <c r="AL96">
        <f t="shared" si="78"/>
        <v>2001</v>
      </c>
      <c r="AM96">
        <f t="shared" si="78"/>
        <v>2002</v>
      </c>
      <c r="AN96">
        <f t="shared" si="78"/>
        <v>2003</v>
      </c>
      <c r="AO96">
        <f t="shared" si="78"/>
        <v>2004</v>
      </c>
      <c r="AP96">
        <f t="shared" si="78"/>
        <v>2005</v>
      </c>
      <c r="AQ96">
        <f t="shared" si="78"/>
        <v>2006</v>
      </c>
      <c r="AR96">
        <f t="shared" si="78"/>
        <v>2007</v>
      </c>
      <c r="AS96">
        <f t="shared" si="78"/>
        <v>2008</v>
      </c>
      <c r="AT96">
        <f>AT75</f>
        <v>2009</v>
      </c>
      <c r="AU96">
        <f>AU75</f>
        <v>2010</v>
      </c>
      <c r="AV96">
        <f>AV75</f>
        <v>2011</v>
      </c>
      <c r="AW96">
        <v>2012</v>
      </c>
      <c r="AX96">
        <v>2013</v>
      </c>
      <c r="AY96">
        <v>2014</v>
      </c>
      <c r="AZ96">
        <v>2015</v>
      </c>
    </row>
    <row r="97" spans="6:64" x14ac:dyDescent="0.2">
      <c r="F97" t="str">
        <f t="shared" ref="F97:AU100" si="79">F42</f>
        <v>333</v>
      </c>
      <c r="G97" s="66">
        <f t="shared" ref="G97:M97" si="80">G42</f>
        <v>49.146771419212747</v>
      </c>
      <c r="H97" s="66">
        <f t="shared" si="80"/>
        <v>50.672480361975495</v>
      </c>
      <c r="I97" s="66">
        <f t="shared" si="80"/>
        <v>54.494863556225191</v>
      </c>
      <c r="J97" s="66">
        <f t="shared" si="80"/>
        <v>59.995842783381313</v>
      </c>
      <c r="K97" s="66">
        <f t="shared" si="80"/>
        <v>59.090472386854145</v>
      </c>
      <c r="L97" s="66">
        <f t="shared" si="80"/>
        <v>62.476829897752097</v>
      </c>
      <c r="M97" s="66">
        <f t="shared" si="80"/>
        <v>64.285047980263272</v>
      </c>
      <c r="N97" s="66">
        <f t="shared" si="79"/>
        <v>65.89501569794686</v>
      </c>
      <c r="O97" s="66">
        <f t="shared" si="79"/>
        <v>69.255618510796182</v>
      </c>
      <c r="P97" s="66">
        <f t="shared" si="79"/>
        <v>68.944876451337223</v>
      </c>
      <c r="Q97" s="66">
        <f t="shared" si="79"/>
        <v>67.657653162344744</v>
      </c>
      <c r="R97" s="66">
        <f t="shared" si="79"/>
        <v>70.539359324951576</v>
      </c>
      <c r="S97" s="66">
        <f t="shared" si="79"/>
        <v>65.858556139703268</v>
      </c>
      <c r="T97" s="66">
        <f t="shared" si="79"/>
        <v>60.37462341613103</v>
      </c>
      <c r="U97" s="66">
        <f t="shared" si="79"/>
        <v>66.269951701626596</v>
      </c>
      <c r="V97" s="66">
        <f t="shared" si="79"/>
        <v>65.617783639784349</v>
      </c>
      <c r="W97" s="66">
        <f t="shared" si="79"/>
        <v>64.832173576690579</v>
      </c>
      <c r="X97" s="66">
        <f t="shared" si="79"/>
        <v>75.036505038745617</v>
      </c>
      <c r="Y97" s="66">
        <f t="shared" si="79"/>
        <v>77.692193284222668</v>
      </c>
      <c r="Z97" s="66">
        <f t="shared" si="79"/>
        <v>82.222593006052819</v>
      </c>
      <c r="AA97" s="66">
        <f t="shared" si="79"/>
        <v>83.868091472972651</v>
      </c>
      <c r="AB97" s="66">
        <f t="shared" si="79"/>
        <v>82.396721447131014</v>
      </c>
      <c r="AC97" s="66">
        <f t="shared" si="79"/>
        <v>76.935392520099057</v>
      </c>
      <c r="AD97" s="66">
        <f t="shared" si="79"/>
        <v>80.611369381665114</v>
      </c>
      <c r="AE97" s="66">
        <f t="shared" si="79"/>
        <v>85.185224707419891</v>
      </c>
      <c r="AF97" s="66">
        <f t="shared" si="79"/>
        <v>86.617117459273658</v>
      </c>
      <c r="AG97" s="66">
        <f t="shared" si="79"/>
        <v>87.864782932517485</v>
      </c>
      <c r="AH97" s="66">
        <f t="shared" si="79"/>
        <v>91.946374692000006</v>
      </c>
      <c r="AI97" s="66">
        <f t="shared" si="79"/>
        <v>92.773699392000012</v>
      </c>
      <c r="AJ97" s="66">
        <f t="shared" si="79"/>
        <v>90.795930179999999</v>
      </c>
      <c r="AK97" s="66">
        <f t="shared" si="79"/>
        <v>94.666874887999995</v>
      </c>
      <c r="AL97" s="66">
        <f t="shared" si="79"/>
        <v>92.647602108000001</v>
      </c>
      <c r="AM97" s="66">
        <f t="shared" si="79"/>
        <v>82.569779015999998</v>
      </c>
      <c r="AN97" s="66">
        <f t="shared" si="79"/>
        <v>82.280649548</v>
      </c>
      <c r="AO97" s="66">
        <f t="shared" si="79"/>
        <v>96.618532063999993</v>
      </c>
      <c r="AP97" s="66">
        <f t="shared" si="79"/>
        <v>103.62875561200001</v>
      </c>
      <c r="AQ97" s="66">
        <f t="shared" si="79"/>
        <v>106.736016244</v>
      </c>
      <c r="AR97" s="66">
        <f t="shared" si="79"/>
        <v>105.377490912</v>
      </c>
      <c r="AS97" s="66">
        <f t="shared" si="79"/>
        <v>102.92644659199999</v>
      </c>
      <c r="AT97" s="66">
        <f t="shared" si="79"/>
        <v>80.589184668000001</v>
      </c>
      <c r="AU97" s="66">
        <f t="shared" si="79"/>
        <v>80.164175712000002</v>
      </c>
      <c r="AV97" s="66">
        <f t="shared" ref="AV97:AY97" si="81">AV42</f>
        <v>88.023710887999997</v>
      </c>
      <c r="AW97" s="66">
        <f t="shared" si="81"/>
        <v>83.639372775999988</v>
      </c>
      <c r="AX97" s="66">
        <f t="shared" si="81"/>
        <v>85.032806280000003</v>
      </c>
      <c r="AY97" s="66">
        <f t="shared" si="81"/>
        <v>87.051430780000004</v>
      </c>
      <c r="AZ97" s="66">
        <f t="shared" ref="AZ97" si="82">AZ42</f>
        <v>84.493259895999998</v>
      </c>
      <c r="BA97" s="66"/>
      <c r="BB97" s="66"/>
    </row>
    <row r="98" spans="6:64" x14ac:dyDescent="0.2">
      <c r="F98" t="str">
        <f t="shared" si="79"/>
        <v>334</v>
      </c>
      <c r="G98" s="66">
        <f t="shared" ref="G98:M98" si="83">G43</f>
        <v>55.768804756254276</v>
      </c>
      <c r="H98" s="66">
        <f t="shared" si="83"/>
        <v>56.157957193533868</v>
      </c>
      <c r="I98" s="66">
        <f t="shared" si="83"/>
        <v>60.018130936339354</v>
      </c>
      <c r="J98" s="66">
        <f t="shared" si="83"/>
        <v>63.023316795133937</v>
      </c>
      <c r="K98" s="66">
        <f t="shared" si="83"/>
        <v>59.624570698434098</v>
      </c>
      <c r="L98" s="66">
        <f t="shared" si="83"/>
        <v>61.063698296722293</v>
      </c>
      <c r="M98" s="66">
        <f t="shared" si="83"/>
        <v>60.338488977250819</v>
      </c>
      <c r="N98" s="66">
        <f t="shared" si="79"/>
        <v>62.768469320083639</v>
      </c>
      <c r="O98" s="66">
        <f t="shared" si="79"/>
        <v>66.83112026826484</v>
      </c>
      <c r="P98" s="66">
        <f t="shared" si="79"/>
        <v>71.80496186305507</v>
      </c>
      <c r="Q98" s="66">
        <f t="shared" si="79"/>
        <v>76.722165922369328</v>
      </c>
      <c r="R98" s="66">
        <f t="shared" si="79"/>
        <v>82.038856225600497</v>
      </c>
      <c r="S98" s="66">
        <f t="shared" si="79"/>
        <v>87.574955762683544</v>
      </c>
      <c r="T98" s="66">
        <f t="shared" si="79"/>
        <v>91.804424701552975</v>
      </c>
      <c r="U98" s="66">
        <f t="shared" si="79"/>
        <v>99.624101734044345</v>
      </c>
      <c r="V98" s="66">
        <f t="shared" si="79"/>
        <v>105.43131708009108</v>
      </c>
      <c r="W98" s="66">
        <f t="shared" si="79"/>
        <v>110.14540497741316</v>
      </c>
      <c r="X98" s="66">
        <f t="shared" si="79"/>
        <v>117.30317472933524</v>
      </c>
      <c r="Y98" s="66">
        <f t="shared" si="79"/>
        <v>120.097983423326</v>
      </c>
      <c r="Z98" s="66">
        <f t="shared" si="79"/>
        <v>123.33101691991858</v>
      </c>
      <c r="AA98" s="66">
        <f t="shared" si="79"/>
        <v>126.73288702710265</v>
      </c>
      <c r="AB98" s="66">
        <f t="shared" si="79"/>
        <v>125.49737823004109</v>
      </c>
      <c r="AC98" s="66">
        <f t="shared" si="79"/>
        <v>121.64152523659999</v>
      </c>
      <c r="AD98" s="66">
        <f t="shared" si="79"/>
        <v>123.37528963114035</v>
      </c>
      <c r="AE98" s="66">
        <f t="shared" si="79"/>
        <v>124.94734607198089</v>
      </c>
      <c r="AF98" s="66">
        <f t="shared" si="79"/>
        <v>125.59605384912012</v>
      </c>
      <c r="AG98" s="66">
        <f t="shared" si="79"/>
        <v>126.7992960939353</v>
      </c>
      <c r="AH98" s="66">
        <f t="shared" si="79"/>
        <v>128.99854854399999</v>
      </c>
      <c r="AI98" s="66">
        <f t="shared" si="79"/>
        <v>127.959284052</v>
      </c>
      <c r="AJ98" s="66">
        <f t="shared" si="79"/>
        <v>123.546483036</v>
      </c>
      <c r="AK98" s="66">
        <f t="shared" si="79"/>
        <v>133.54378634</v>
      </c>
      <c r="AL98" s="66">
        <f t="shared" si="79"/>
        <v>128.93979731600001</v>
      </c>
      <c r="AM98" s="66">
        <f t="shared" si="79"/>
        <v>111.118071728</v>
      </c>
      <c r="AN98" s="66">
        <f t="shared" si="79"/>
        <v>112.69819281199999</v>
      </c>
      <c r="AO98" s="66">
        <f t="shared" si="79"/>
        <v>116.681218308</v>
      </c>
      <c r="AP98" s="66">
        <f t="shared" si="79"/>
        <v>116.74021861200001</v>
      </c>
      <c r="AQ98" s="66">
        <f t="shared" si="79"/>
        <v>117.602925752</v>
      </c>
      <c r="AR98" s="66">
        <f t="shared" si="79"/>
        <v>115.96706964800001</v>
      </c>
      <c r="AS98" s="66">
        <f t="shared" si="79"/>
        <v>114.43627584799999</v>
      </c>
      <c r="AT98" s="66">
        <f t="shared" si="79"/>
        <v>100.66183054</v>
      </c>
      <c r="AU98" s="66">
        <f t="shared" si="79"/>
        <v>94.309365528000001</v>
      </c>
      <c r="AV98" s="66">
        <f t="shared" ref="AV98:AY98" si="84">AV43</f>
        <v>94.879961112000004</v>
      </c>
      <c r="AW98" s="66">
        <f t="shared" si="84"/>
        <v>141.09177179600002</v>
      </c>
      <c r="AX98" s="66">
        <f t="shared" si="84"/>
        <v>126.094001656</v>
      </c>
      <c r="AY98" s="66">
        <f t="shared" si="84"/>
        <v>150.502760432</v>
      </c>
      <c r="AZ98" s="66">
        <f t="shared" ref="AZ98" si="85">AZ43</f>
        <v>161.45564210399999</v>
      </c>
      <c r="BA98" s="66"/>
      <c r="BB98" s="66"/>
    </row>
    <row r="99" spans="6:64" x14ac:dyDescent="0.2">
      <c r="F99" t="str">
        <f t="shared" si="79"/>
        <v>335</v>
      </c>
      <c r="G99" s="66">
        <f t="shared" ref="G99:M99" si="86">G44</f>
        <v>42.736834095881441</v>
      </c>
      <c r="H99" s="66">
        <f t="shared" si="86"/>
        <v>41.995861907408873</v>
      </c>
      <c r="I99" s="66">
        <f t="shared" si="86"/>
        <v>45.057180980695868</v>
      </c>
      <c r="J99" s="66">
        <f t="shared" si="86"/>
        <v>48.615364691617302</v>
      </c>
      <c r="K99" s="66">
        <f t="shared" si="86"/>
        <v>47.215931861924567</v>
      </c>
      <c r="L99" s="66">
        <f t="shared" si="86"/>
        <v>44.298578464270889</v>
      </c>
      <c r="M99" s="66">
        <f t="shared" si="86"/>
        <v>44.572779783199536</v>
      </c>
      <c r="N99" s="66">
        <f t="shared" si="79"/>
        <v>47.430719507533297</v>
      </c>
      <c r="O99" s="66">
        <f t="shared" si="79"/>
        <v>49.574142426015122</v>
      </c>
      <c r="P99" s="66">
        <f t="shared" si="79"/>
        <v>51.059900570314859</v>
      </c>
      <c r="Q99" s="66">
        <f t="shared" si="79"/>
        <v>48.015074997710698</v>
      </c>
      <c r="R99" s="66">
        <f t="shared" si="79"/>
        <v>47.519846717161876</v>
      </c>
      <c r="S99" s="66">
        <f t="shared" si="79"/>
        <v>48.285332079830781</v>
      </c>
      <c r="T99" s="66">
        <f t="shared" si="79"/>
        <v>48.39489167539756</v>
      </c>
      <c r="U99" s="66">
        <f t="shared" si="79"/>
        <v>51.312498489490061</v>
      </c>
      <c r="V99" s="66">
        <f t="shared" si="79"/>
        <v>49.021047347800362</v>
      </c>
      <c r="W99" s="66">
        <f t="shared" si="79"/>
        <v>49.843814070592941</v>
      </c>
      <c r="X99" s="66">
        <f t="shared" si="79"/>
        <v>51.594232792454768</v>
      </c>
      <c r="Y99" s="66">
        <f t="shared" si="79"/>
        <v>53.163690091160618</v>
      </c>
      <c r="Z99" s="66">
        <f t="shared" si="79"/>
        <v>53.39730074266356</v>
      </c>
      <c r="AA99" s="66">
        <f t="shared" si="79"/>
        <v>53.927901631120662</v>
      </c>
      <c r="AB99" s="66">
        <f t="shared" si="79"/>
        <v>51.473161533067156</v>
      </c>
      <c r="AC99" s="66">
        <f t="shared" si="79"/>
        <v>49.12202268046277</v>
      </c>
      <c r="AD99" s="66">
        <f t="shared" si="79"/>
        <v>51.668175642147865</v>
      </c>
      <c r="AE99" s="66">
        <f t="shared" si="79"/>
        <v>52.586367072402908</v>
      </c>
      <c r="AF99" s="66">
        <f t="shared" si="79"/>
        <v>53.684133994769773</v>
      </c>
      <c r="AG99" s="66">
        <f t="shared" si="79"/>
        <v>53.999000525056346</v>
      </c>
      <c r="AH99" s="66">
        <f t="shared" si="79"/>
        <v>56.083009879999999</v>
      </c>
      <c r="AI99" s="66">
        <f t="shared" si="79"/>
        <v>55.019660080000001</v>
      </c>
      <c r="AJ99" s="66">
        <f t="shared" si="79"/>
        <v>54.704630119999997</v>
      </c>
      <c r="AK99" s="66">
        <f t="shared" si="79"/>
        <v>55.079076648000004</v>
      </c>
      <c r="AL99" s="66">
        <f t="shared" si="79"/>
        <v>52.979321611999993</v>
      </c>
      <c r="AM99" s="66">
        <f t="shared" si="79"/>
        <v>47.035614199999998</v>
      </c>
      <c r="AN99" s="66">
        <f t="shared" si="79"/>
        <v>46.385491719999997</v>
      </c>
      <c r="AO99" s="66">
        <f t="shared" si="79"/>
        <v>48.922020288000006</v>
      </c>
      <c r="AP99" s="66">
        <f t="shared" si="79"/>
        <v>51.191931763999996</v>
      </c>
      <c r="AQ99" s="66">
        <f t="shared" si="79"/>
        <v>51.663726063999995</v>
      </c>
      <c r="AR99" s="66">
        <f t="shared" si="79"/>
        <v>52.612490668</v>
      </c>
      <c r="AS99" s="66">
        <f t="shared" si="79"/>
        <v>50.072976600000004</v>
      </c>
      <c r="AT99" s="66">
        <f t="shared" si="79"/>
        <v>39.156026699999998</v>
      </c>
      <c r="AU99" s="66">
        <f t="shared" si="79"/>
        <v>39.913531644000003</v>
      </c>
      <c r="AV99" s="66">
        <f t="shared" ref="AV99:AY99" si="87">AV44</f>
        <v>43.524294291999993</v>
      </c>
      <c r="AW99" s="66">
        <f t="shared" si="87"/>
        <v>42.068765799999994</v>
      </c>
      <c r="AX99" s="66">
        <f t="shared" si="87"/>
        <v>38.609277583999997</v>
      </c>
      <c r="AY99" s="66">
        <f t="shared" si="87"/>
        <v>36.611210383999996</v>
      </c>
      <c r="AZ99" s="66">
        <f t="shared" ref="AZ99" si="88">AZ44</f>
        <v>36.592806056000001</v>
      </c>
      <c r="BA99" s="66"/>
      <c r="BB99" s="66"/>
    </row>
    <row r="100" spans="6:64" x14ac:dyDescent="0.2">
      <c r="F100" t="str">
        <f t="shared" si="79"/>
        <v>336</v>
      </c>
      <c r="G100" s="66">
        <f t="shared" ref="G100:M100" si="89">G45</f>
        <v>108.45534171392897</v>
      </c>
      <c r="H100" s="66">
        <f t="shared" si="89"/>
        <v>113.63216523814549</v>
      </c>
      <c r="I100" s="66">
        <f t="shared" si="89"/>
        <v>117.52319894989643</v>
      </c>
      <c r="J100" s="66">
        <f t="shared" si="89"/>
        <v>126.65495057620718</v>
      </c>
      <c r="K100" s="66">
        <f t="shared" si="89"/>
        <v>111.76929889391631</v>
      </c>
      <c r="L100" s="66">
        <f t="shared" si="89"/>
        <v>109.36353827720538</v>
      </c>
      <c r="M100" s="66">
        <f t="shared" si="89"/>
        <v>116.60003904808401</v>
      </c>
      <c r="N100" s="66">
        <f t="shared" si="79"/>
        <v>122.08421943882026</v>
      </c>
      <c r="O100" s="66">
        <f t="shared" si="79"/>
        <v>123.61164856516096</v>
      </c>
      <c r="P100" s="66">
        <f t="shared" si="79"/>
        <v>123.45790824378136</v>
      </c>
      <c r="Q100" s="66">
        <f t="shared" si="79"/>
        <v>115.87371521980836</v>
      </c>
      <c r="R100" s="66">
        <f t="shared" si="79"/>
        <v>116.16068263250745</v>
      </c>
      <c r="S100" s="66">
        <f t="shared" si="79"/>
        <v>111.13395505936607</v>
      </c>
      <c r="T100" s="66">
        <f t="shared" si="79"/>
        <v>118.48834823482299</v>
      </c>
      <c r="U100" s="66">
        <f t="shared" si="79"/>
        <v>138.40793909185925</v>
      </c>
      <c r="V100" s="66">
        <f t="shared" si="79"/>
        <v>133.44202150333211</v>
      </c>
      <c r="W100" s="66">
        <f t="shared" si="79"/>
        <v>137.93991163514653</v>
      </c>
      <c r="X100" s="66">
        <f t="shared" si="79"/>
        <v>148.48101866152217</v>
      </c>
      <c r="Y100" s="66">
        <f t="shared" si="79"/>
        <v>154.05119390842597</v>
      </c>
      <c r="Z100" s="66">
        <f t="shared" si="79"/>
        <v>152.37196480633253</v>
      </c>
      <c r="AA100" s="66">
        <f t="shared" si="79"/>
        <v>153.23725770984589</v>
      </c>
      <c r="AB100" s="66">
        <f t="shared" si="79"/>
        <v>146.74468901249639</v>
      </c>
      <c r="AC100" s="66">
        <f t="shared" si="79"/>
        <v>151.69351570431976</v>
      </c>
      <c r="AD100" s="66">
        <f t="shared" si="79"/>
        <v>158.65707944559645</v>
      </c>
      <c r="AE100" s="66">
        <f t="shared" si="79"/>
        <v>162.54126812923144</v>
      </c>
      <c r="AF100" s="66">
        <f t="shared" si="79"/>
        <v>165.69294802145021</v>
      </c>
      <c r="AG100" s="66">
        <f t="shared" si="79"/>
        <v>164.64250068173021</v>
      </c>
      <c r="AH100" s="66">
        <f t="shared" si="79"/>
        <v>181.49709206</v>
      </c>
      <c r="AI100" s="66">
        <f t="shared" si="79"/>
        <v>175.71835826</v>
      </c>
      <c r="AJ100" s="66">
        <f t="shared" si="79"/>
        <v>181.08791137200001</v>
      </c>
      <c r="AK100" s="66">
        <f t="shared" si="79"/>
        <v>186.38836807199999</v>
      </c>
      <c r="AL100" s="66">
        <f t="shared" si="79"/>
        <v>189.42251977999999</v>
      </c>
      <c r="AM100" s="66">
        <f t="shared" si="79"/>
        <v>181.823920716</v>
      </c>
      <c r="AN100" s="66">
        <f t="shared" si="79"/>
        <v>178.301098956</v>
      </c>
      <c r="AO100" s="66">
        <f t="shared" si="79"/>
        <v>192.51036271999999</v>
      </c>
      <c r="AP100" s="66">
        <f t="shared" si="79"/>
        <v>196.24766279999997</v>
      </c>
      <c r="AQ100" s="66">
        <f t="shared" si="79"/>
        <v>189.979061336</v>
      </c>
      <c r="AR100" s="66">
        <f t="shared" si="79"/>
        <v>194.72188122799997</v>
      </c>
      <c r="AS100" s="66">
        <f t="shared" si="79"/>
        <v>189.70901518399998</v>
      </c>
      <c r="AT100" s="66">
        <f t="shared" si="79"/>
        <v>149.042844108</v>
      </c>
      <c r="AU100" s="66">
        <f t="shared" si="79"/>
        <v>176.70813510400001</v>
      </c>
      <c r="AV100" s="66">
        <f t="shared" ref="AV100:AY100" si="90">AV45</f>
        <v>197.729702532</v>
      </c>
      <c r="AW100" s="66">
        <f t="shared" si="90"/>
        <v>195.46619537999999</v>
      </c>
      <c r="AX100" s="66">
        <f t="shared" si="90"/>
        <v>194.855908</v>
      </c>
      <c r="AY100" s="66">
        <f t="shared" si="90"/>
        <v>199.433143532</v>
      </c>
      <c r="AZ100" s="66">
        <f t="shared" ref="AZ100" si="91">AZ45</f>
        <v>208.29709303199999</v>
      </c>
      <c r="BA100" s="66"/>
      <c r="BB100" s="66"/>
    </row>
    <row r="103" spans="6:64" x14ac:dyDescent="0.2">
      <c r="BK103">
        <f>123.55/127.96</f>
        <v>0.96553610503282283</v>
      </c>
      <c r="BL103">
        <f>36.2/37.5</f>
        <v>0.96533333333333338</v>
      </c>
    </row>
    <row r="127" spans="6:54" x14ac:dyDescent="0.2">
      <c r="G127">
        <v>1970</v>
      </c>
      <c r="H127">
        <v>1971</v>
      </c>
      <c r="I127">
        <v>1972</v>
      </c>
      <c r="J127">
        <v>1973</v>
      </c>
      <c r="K127">
        <v>1974</v>
      </c>
      <c r="L127">
        <v>1975</v>
      </c>
      <c r="M127">
        <v>1976</v>
      </c>
      <c r="N127">
        <f>N29</f>
        <v>1977</v>
      </c>
      <c r="O127">
        <f t="shared" ref="O127:AS127" si="92">O29</f>
        <v>1978</v>
      </c>
      <c r="P127">
        <f t="shared" si="92"/>
        <v>1979</v>
      </c>
      <c r="Q127">
        <f t="shared" si="92"/>
        <v>1980</v>
      </c>
      <c r="R127">
        <f t="shared" si="92"/>
        <v>1981</v>
      </c>
      <c r="S127">
        <f t="shared" si="92"/>
        <v>1982</v>
      </c>
      <c r="T127">
        <f t="shared" si="92"/>
        <v>1983</v>
      </c>
      <c r="U127">
        <f t="shared" si="92"/>
        <v>1984</v>
      </c>
      <c r="V127">
        <f t="shared" si="92"/>
        <v>1985</v>
      </c>
      <c r="W127">
        <f t="shared" si="92"/>
        <v>1986</v>
      </c>
      <c r="X127">
        <f t="shared" si="92"/>
        <v>1987</v>
      </c>
      <c r="Y127">
        <f t="shared" si="92"/>
        <v>1988</v>
      </c>
      <c r="Z127">
        <f t="shared" si="92"/>
        <v>1989</v>
      </c>
      <c r="AA127">
        <f t="shared" si="92"/>
        <v>1990</v>
      </c>
      <c r="AB127">
        <f t="shared" si="92"/>
        <v>1991</v>
      </c>
      <c r="AC127">
        <f t="shared" si="92"/>
        <v>1992</v>
      </c>
      <c r="AD127">
        <f t="shared" si="92"/>
        <v>1993</v>
      </c>
      <c r="AE127">
        <f t="shared" si="92"/>
        <v>1994</v>
      </c>
      <c r="AF127">
        <f t="shared" si="92"/>
        <v>1995</v>
      </c>
      <c r="AG127">
        <f t="shared" si="92"/>
        <v>1996</v>
      </c>
      <c r="AH127">
        <f t="shared" si="92"/>
        <v>1997</v>
      </c>
      <c r="AI127">
        <f t="shared" si="92"/>
        <v>1998</v>
      </c>
      <c r="AJ127">
        <f t="shared" si="92"/>
        <v>1999</v>
      </c>
      <c r="AK127">
        <f t="shared" si="92"/>
        <v>2000</v>
      </c>
      <c r="AL127">
        <f t="shared" si="92"/>
        <v>2001</v>
      </c>
      <c r="AM127">
        <f t="shared" si="92"/>
        <v>2002</v>
      </c>
      <c r="AN127">
        <f t="shared" si="92"/>
        <v>2003</v>
      </c>
      <c r="AO127">
        <f t="shared" si="92"/>
        <v>2004</v>
      </c>
      <c r="AP127">
        <f t="shared" si="92"/>
        <v>2005</v>
      </c>
      <c r="AQ127">
        <f t="shared" si="92"/>
        <v>2006</v>
      </c>
      <c r="AR127">
        <f t="shared" si="92"/>
        <v>2007</v>
      </c>
      <c r="AS127">
        <f t="shared" si="92"/>
        <v>2008</v>
      </c>
      <c r="AT127">
        <f>AT29</f>
        <v>2009</v>
      </c>
      <c r="AU127">
        <f>AU29</f>
        <v>2010</v>
      </c>
      <c r="AV127">
        <f>AV29</f>
        <v>2011</v>
      </c>
      <c r="AW127">
        <v>2012</v>
      </c>
      <c r="AX127">
        <v>2013</v>
      </c>
      <c r="AY127">
        <v>2014</v>
      </c>
      <c r="AZ127">
        <v>2015</v>
      </c>
    </row>
    <row r="128" spans="6:54" x14ac:dyDescent="0.2">
      <c r="F128" t="str">
        <f>F46</f>
        <v>337</v>
      </c>
      <c r="G128" s="5">
        <f>G46</f>
        <v>12.44405467911435</v>
      </c>
      <c r="H128" s="5">
        <f t="shared" ref="H128:M128" si="93">H46</f>
        <v>12.336058878660573</v>
      </c>
      <c r="I128" s="5">
        <f t="shared" si="93"/>
        <v>12.731387038245137</v>
      </c>
      <c r="J128" s="5">
        <f t="shared" si="93"/>
        <v>13.986013375658354</v>
      </c>
      <c r="K128" s="5">
        <f t="shared" si="93"/>
        <v>14.820557030777211</v>
      </c>
      <c r="L128" s="5">
        <f t="shared" si="93"/>
        <v>14.3946598811398</v>
      </c>
      <c r="M128" s="5">
        <f t="shared" si="93"/>
        <v>14.682192626123481</v>
      </c>
      <c r="N128" s="5">
        <f>N46</f>
        <v>15.484543619761297</v>
      </c>
      <c r="O128" s="5">
        <f t="shared" ref="O128:AS129" si="94">O46</f>
        <v>15.674755031924223</v>
      </c>
      <c r="P128" s="5">
        <f t="shared" si="94"/>
        <v>14.899658795801846</v>
      </c>
      <c r="Q128" s="5">
        <f t="shared" si="94"/>
        <v>14.599259313499147</v>
      </c>
      <c r="R128" s="5">
        <f t="shared" si="94"/>
        <v>15.055654728339254</v>
      </c>
      <c r="S128" s="5">
        <f t="shared" si="94"/>
        <v>14.591748829131578</v>
      </c>
      <c r="T128" s="5">
        <f t="shared" si="94"/>
        <v>15.657903048161847</v>
      </c>
      <c r="U128" s="5">
        <f t="shared" si="94"/>
        <v>16.909370656623675</v>
      </c>
      <c r="V128" s="5">
        <f t="shared" si="94"/>
        <v>16.585356641514487</v>
      </c>
      <c r="W128" s="5">
        <f t="shared" si="94"/>
        <v>17.322169875097099</v>
      </c>
      <c r="X128" s="5">
        <f t="shared" si="94"/>
        <v>21.359852613141975</v>
      </c>
      <c r="Y128" s="5">
        <f t="shared" si="94"/>
        <v>22.199010092285135</v>
      </c>
      <c r="Z128" s="5">
        <f t="shared" si="94"/>
        <v>23.355205032498805</v>
      </c>
      <c r="AA128" s="5">
        <f t="shared" si="94"/>
        <v>22.280034512346635</v>
      </c>
      <c r="AB128" s="5">
        <f t="shared" si="94"/>
        <v>21.53568569070282</v>
      </c>
      <c r="AC128" s="5">
        <f t="shared" si="94"/>
        <v>22.237673197293738</v>
      </c>
      <c r="AD128" s="5">
        <f t="shared" si="94"/>
        <v>24.134854950020038</v>
      </c>
      <c r="AE128" s="5">
        <f t="shared" si="94"/>
        <v>24.760861050246227</v>
      </c>
      <c r="AF128" s="5">
        <f t="shared" si="94"/>
        <v>25.688439369539484</v>
      </c>
      <c r="AG128" s="5">
        <f t="shared" si="94"/>
        <v>25.845108995052591</v>
      </c>
      <c r="AH128" s="5">
        <f t="shared" si="94"/>
        <v>28.695360147999999</v>
      </c>
      <c r="AI128" s="5">
        <f t="shared" si="94"/>
        <v>28.813957855999998</v>
      </c>
      <c r="AJ128" s="5">
        <f t="shared" si="94"/>
        <v>28.427545444</v>
      </c>
      <c r="AK128" s="5">
        <f t="shared" si="94"/>
        <v>29.604579672</v>
      </c>
      <c r="AL128" s="5">
        <f t="shared" si="94"/>
        <v>27.776730327999999</v>
      </c>
      <c r="AM128" s="5">
        <f t="shared" si="94"/>
        <v>27.030744296000002</v>
      </c>
      <c r="AN128" s="5">
        <f t="shared" si="94"/>
        <v>27.583007204000001</v>
      </c>
      <c r="AO128" s="5">
        <f t="shared" si="94"/>
        <v>33.419383331999995</v>
      </c>
      <c r="AP128" s="5">
        <f t="shared" si="94"/>
        <v>33.400091883999998</v>
      </c>
      <c r="AQ128" s="5">
        <f t="shared" si="94"/>
        <v>32.803670871999998</v>
      </c>
      <c r="AR128" s="5">
        <f t="shared" si="94"/>
        <v>29.471651563999998</v>
      </c>
      <c r="AS128" s="5">
        <f t="shared" si="94"/>
        <v>27.580656336000001</v>
      </c>
      <c r="AT128" s="5">
        <f t="shared" ref="AT128:AV129" si="95">AT46</f>
        <v>20.005828676</v>
      </c>
      <c r="AU128" s="5">
        <f t="shared" si="95"/>
        <v>19.100546599999998</v>
      </c>
      <c r="AV128" s="5">
        <f t="shared" si="95"/>
        <v>18.576064195999997</v>
      </c>
      <c r="AW128" s="5">
        <f t="shared" ref="AW128:AY128" si="96">AW46</f>
        <v>17.142860419999998</v>
      </c>
      <c r="AX128" s="5">
        <f t="shared" si="96"/>
        <v>17.870271524</v>
      </c>
      <c r="AY128" s="5">
        <f t="shared" si="96"/>
        <v>17.811506647999998</v>
      </c>
      <c r="AZ128" s="5">
        <f t="shared" ref="AZ128" si="97">AZ46</f>
        <v>18.329444836</v>
      </c>
      <c r="BA128" s="5"/>
      <c r="BB128" s="5"/>
    </row>
    <row r="129" spans="6:54" x14ac:dyDescent="0.2">
      <c r="F129" t="str">
        <f>F47</f>
        <v>339</v>
      </c>
      <c r="G129" s="5">
        <f>G47</f>
        <v>15.609787456863595</v>
      </c>
      <c r="H129" s="5">
        <f t="shared" ref="H129:M129" si="98">H47</f>
        <v>17.674656817572057</v>
      </c>
      <c r="I129" s="5">
        <f t="shared" si="98"/>
        <v>19.833754167316457</v>
      </c>
      <c r="J129" s="5">
        <f t="shared" si="98"/>
        <v>19.878476693195989</v>
      </c>
      <c r="K129" s="5">
        <f t="shared" si="98"/>
        <v>18.877802996681545</v>
      </c>
      <c r="L129" s="5">
        <f t="shared" si="98"/>
        <v>18.278815879446618</v>
      </c>
      <c r="M129" s="5">
        <f t="shared" si="98"/>
        <v>17.792073411794558</v>
      </c>
      <c r="N129" s="5">
        <f>N47</f>
        <v>19.687953956599571</v>
      </c>
      <c r="O129" s="5">
        <f t="shared" si="94"/>
        <v>19.385936038873506</v>
      </c>
      <c r="P129" s="5">
        <f t="shared" si="94"/>
        <v>18.517125198767097</v>
      </c>
      <c r="Q129" s="5">
        <f t="shared" si="94"/>
        <v>18.431041326642504</v>
      </c>
      <c r="R129" s="5">
        <f t="shared" si="94"/>
        <v>18.627860226114883</v>
      </c>
      <c r="S129" s="5">
        <f t="shared" si="94"/>
        <v>19.102441732568916</v>
      </c>
      <c r="T129" s="5">
        <f t="shared" si="94"/>
        <v>19.325603339831339</v>
      </c>
      <c r="U129" s="5">
        <f t="shared" si="94"/>
        <v>20.284003346797792</v>
      </c>
      <c r="V129" s="5">
        <f t="shared" si="94"/>
        <v>19.664239415299171</v>
      </c>
      <c r="W129" s="5">
        <f t="shared" si="94"/>
        <v>20.339372988667815</v>
      </c>
      <c r="X129" s="5">
        <f t="shared" si="94"/>
        <v>25.284567016894268</v>
      </c>
      <c r="Y129" s="5">
        <f t="shared" si="94"/>
        <v>26.64857301611816</v>
      </c>
      <c r="Z129" s="5">
        <f t="shared" si="94"/>
        <v>27.664804893891468</v>
      </c>
      <c r="AA129" s="5">
        <f t="shared" si="94"/>
        <v>29.85303894726405</v>
      </c>
      <c r="AB129" s="5">
        <f t="shared" si="94"/>
        <v>28.863897556069173</v>
      </c>
      <c r="AC129" s="5">
        <f t="shared" si="94"/>
        <v>27.325157918414416</v>
      </c>
      <c r="AD129" s="5">
        <f t="shared" si="94"/>
        <v>30.172706688889512</v>
      </c>
      <c r="AE129" s="5">
        <f t="shared" si="94"/>
        <v>30.71790273128039</v>
      </c>
      <c r="AF129" s="5">
        <f t="shared" si="94"/>
        <v>32.973185738934589</v>
      </c>
      <c r="AG129" s="5">
        <f t="shared" si="94"/>
        <v>33.488920877171424</v>
      </c>
      <c r="AH129" s="5">
        <f t="shared" si="94"/>
        <v>34.532872472000001</v>
      </c>
      <c r="AI129" s="5">
        <f t="shared" si="94"/>
        <v>35.481852031999999</v>
      </c>
      <c r="AJ129" s="5">
        <f t="shared" si="94"/>
        <v>35.006884571999997</v>
      </c>
      <c r="AK129" s="5">
        <f t="shared" si="94"/>
        <v>36.657630644000001</v>
      </c>
      <c r="AL129" s="5">
        <f t="shared" si="94"/>
        <v>37.375102591999998</v>
      </c>
      <c r="AM129" s="5">
        <f t="shared" si="94"/>
        <v>35.271246332000004</v>
      </c>
      <c r="AN129" s="5">
        <f t="shared" si="94"/>
        <v>36.568011052000003</v>
      </c>
      <c r="AO129" s="5">
        <f t="shared" si="94"/>
        <v>43.772309159999999</v>
      </c>
      <c r="AP129" s="5">
        <f t="shared" si="94"/>
        <v>44.576063763999997</v>
      </c>
      <c r="AQ129" s="5">
        <f t="shared" si="94"/>
        <v>43.850928463999999</v>
      </c>
      <c r="AR129" s="5">
        <f t="shared" si="94"/>
        <v>40.031696027999999</v>
      </c>
      <c r="AS129" s="5">
        <f t="shared" si="94"/>
        <v>39.769118744000004</v>
      </c>
      <c r="AT129" s="5">
        <f t="shared" si="95"/>
        <v>34.883922916000003</v>
      </c>
      <c r="AU129" s="5">
        <f t="shared" si="95"/>
        <v>35.953311956</v>
      </c>
      <c r="AV129" s="5">
        <f t="shared" si="95"/>
        <v>36.712505839999999</v>
      </c>
      <c r="AW129" s="5">
        <f t="shared" ref="AW129:AY129" si="99">AW47</f>
        <v>31.878974516</v>
      </c>
      <c r="AX129" s="5">
        <f t="shared" si="99"/>
        <v>33.50428754</v>
      </c>
      <c r="AY129" s="5">
        <f t="shared" si="99"/>
        <v>32.096567991999997</v>
      </c>
      <c r="AZ129" s="5">
        <f t="shared" ref="AZ129" si="100">AZ47</f>
        <v>33.531549419999997</v>
      </c>
      <c r="BA129" s="5"/>
      <c r="BB129" s="5"/>
    </row>
  </sheetData>
  <pageMargins left="0.75" right="0.75" top="1" bottom="1" header="0.5" footer="0.5"/>
  <headerFooter alignWithMargin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J150"/>
  <sheetViews>
    <sheetView topLeftCell="BA30" workbookViewId="0">
      <selection activeCell="BJ36" sqref="BJ36"/>
    </sheetView>
  </sheetViews>
  <sheetFormatPr defaultRowHeight="12.75" x14ac:dyDescent="0.2"/>
  <cols>
    <col min="7" max="32" width="9.5703125" bestFit="1" customWidth="1"/>
    <col min="33" max="33" width="10.5703125" bestFit="1" customWidth="1"/>
    <col min="34" max="39" width="10.5703125" customWidth="1"/>
  </cols>
  <sheetData>
    <row r="1" spans="2:46" x14ac:dyDescent="0.2">
      <c r="B1" s="52" t="s">
        <v>427</v>
      </c>
    </row>
    <row r="3" spans="2:46" x14ac:dyDescent="0.2">
      <c r="L3" s="103" t="s">
        <v>454</v>
      </c>
      <c r="M3" s="103"/>
      <c r="N3" s="103"/>
    </row>
    <row r="4" spans="2:46" x14ac:dyDescent="0.2">
      <c r="D4" t="s">
        <v>99</v>
      </c>
      <c r="G4" t="s">
        <v>101</v>
      </c>
    </row>
    <row r="5" spans="2:46" x14ac:dyDescent="0.2">
      <c r="G5">
        <v>1985</v>
      </c>
      <c r="H5">
        <v>1986</v>
      </c>
      <c r="I5">
        <v>1987</v>
      </c>
      <c r="J5">
        <v>1988</v>
      </c>
      <c r="L5">
        <v>1985</v>
      </c>
      <c r="M5">
        <v>1986</v>
      </c>
      <c r="N5">
        <v>1987</v>
      </c>
      <c r="O5">
        <v>1988</v>
      </c>
      <c r="P5">
        <f t="shared" ref="P5:AG5" si="0">O5+1</f>
        <v>1989</v>
      </c>
      <c r="Q5">
        <f t="shared" si="0"/>
        <v>1990</v>
      </c>
      <c r="R5">
        <f t="shared" si="0"/>
        <v>1991</v>
      </c>
      <c r="S5">
        <f t="shared" si="0"/>
        <v>1992</v>
      </c>
      <c r="T5">
        <f t="shared" si="0"/>
        <v>1993</v>
      </c>
      <c r="U5" s="3">
        <f t="shared" si="0"/>
        <v>1994</v>
      </c>
      <c r="V5">
        <f t="shared" si="0"/>
        <v>1995</v>
      </c>
      <c r="W5">
        <f t="shared" si="0"/>
        <v>1996</v>
      </c>
      <c r="X5">
        <f t="shared" si="0"/>
        <v>1997</v>
      </c>
      <c r="Y5" s="3">
        <f t="shared" si="0"/>
        <v>1998</v>
      </c>
      <c r="Z5">
        <f t="shared" si="0"/>
        <v>1999</v>
      </c>
      <c r="AA5">
        <f t="shared" si="0"/>
        <v>2000</v>
      </c>
      <c r="AB5">
        <f t="shared" si="0"/>
        <v>2001</v>
      </c>
      <c r="AC5">
        <f t="shared" si="0"/>
        <v>2002</v>
      </c>
      <c r="AD5">
        <f t="shared" si="0"/>
        <v>2003</v>
      </c>
      <c r="AE5">
        <f t="shared" si="0"/>
        <v>2004</v>
      </c>
      <c r="AF5">
        <f t="shared" si="0"/>
        <v>2005</v>
      </c>
      <c r="AG5">
        <f t="shared" si="0"/>
        <v>2006</v>
      </c>
      <c r="AH5">
        <f>AG5+1</f>
        <v>2007</v>
      </c>
      <c r="AI5">
        <f>AH5+1</f>
        <v>2008</v>
      </c>
      <c r="AJ5">
        <f>AI5+1</f>
        <v>2009</v>
      </c>
      <c r="AK5">
        <f>AJ5+1</f>
        <v>2010</v>
      </c>
      <c r="AL5">
        <f>AK5+1</f>
        <v>2011</v>
      </c>
      <c r="AM5">
        <f t="shared" ref="AM5:AO5" si="1">AL5+1</f>
        <v>2012</v>
      </c>
      <c r="AN5">
        <f t="shared" si="1"/>
        <v>2013</v>
      </c>
      <c r="AO5">
        <f t="shared" si="1"/>
        <v>2014</v>
      </c>
      <c r="AP5">
        <v>2015</v>
      </c>
      <c r="AQ5">
        <v>2016</v>
      </c>
      <c r="AR5">
        <v>2017</v>
      </c>
      <c r="AT5" s="52" t="s">
        <v>352</v>
      </c>
    </row>
    <row r="6" spans="2:46" x14ac:dyDescent="0.2">
      <c r="F6" t="s">
        <v>12</v>
      </c>
      <c r="G6" s="7">
        <f>'ASM_Fuel_Cost_1985-88'!E191</f>
        <v>2815.9714287830675</v>
      </c>
      <c r="H6" s="7">
        <f>'ASM_Fuel_Cost_1985-88'!F191</f>
        <v>2428.9288258561974</v>
      </c>
      <c r="I6" s="7">
        <f>'ASM_Fuel_Cost_1985-88'!G191</f>
        <v>2156.7108744996754</v>
      </c>
      <c r="J6" s="7">
        <f>'ASM_Fuel_Cost_1985-88'!H191</f>
        <v>2156.6102393975102</v>
      </c>
      <c r="L6" s="7">
        <f>[5]Final_quantities_w_ASM_85!X72</f>
        <v>809.47920683727943</v>
      </c>
      <c r="M6" s="7">
        <f>[5]Final_quantities_w_ASM_85!Y72</f>
        <v>846.41354426347027</v>
      </c>
      <c r="N6" s="7">
        <f>[5]Final_quantities_w_ASM_85!Z72</f>
        <v>829.1869310676276</v>
      </c>
      <c r="O6" s="7">
        <f>[5]Final_quantities_w_ASM_85!AA72</f>
        <v>847.05326299822445</v>
      </c>
      <c r="P6" s="7">
        <f>[5]Final_quantities_w_ASM_85!AB72</f>
        <v>850.07470646681315</v>
      </c>
      <c r="Q6" s="7">
        <f>[5]Final_quantities_w_ASM_85!AC72</f>
        <v>802.39401110358517</v>
      </c>
      <c r="R6" s="7">
        <f>[5]Final_quantities_w_ASM_85!AD72</f>
        <v>812.49807819074613</v>
      </c>
      <c r="S6" s="7">
        <f>[5]Final_quantities_w_ASM_85!AE72</f>
        <v>864.10681056839985</v>
      </c>
      <c r="T6" s="7">
        <f>[5]Final_quantities_w_ASM_85!AF72</f>
        <v>924.71362317361468</v>
      </c>
      <c r="U6" s="7">
        <f>[5]Final_quantities_w_ASM_85!AG72</f>
        <v>1004.0935911073389</v>
      </c>
      <c r="V6" s="7">
        <f>[5]Final_quantities_w_ASM_85!AH72</f>
        <v>993.62471750771124</v>
      </c>
      <c r="W6" s="7">
        <f>[5]Final_quantities_w_ASM_85!AI72</f>
        <v>863.41523002112513</v>
      </c>
      <c r="X6" s="7">
        <f>[5]Final_quantities_w_ASM_85!AJ72</f>
        <v>866.96704502578189</v>
      </c>
      <c r="Y6" s="7">
        <f>[5]Final_quantities_w_ASM_85!AK72</f>
        <v>915.05744987672722</v>
      </c>
      <c r="Z6" s="7">
        <f>[5]Final_quantities_w_ASM_85!AL72</f>
        <v>935.89991627574511</v>
      </c>
      <c r="AA6" s="7">
        <f>[5]Final_quantities_w_ASM_85!AM72</f>
        <v>891.45279743091669</v>
      </c>
      <c r="AB6" s="7">
        <f>[5]Final_quantities_w_ASM_85!AN72</f>
        <v>1034.8069674720462</v>
      </c>
      <c r="AC6" s="7">
        <f>[5]Final_quantities_w_ASM_85!AO72</f>
        <v>965.04728132387697</v>
      </c>
      <c r="AD6" s="7">
        <f>[5]Final_quantities_w_ASM_85!AP72</f>
        <v>908.22435811178309</v>
      </c>
      <c r="AE6" s="7">
        <f>[5]Final_quantities_w_ASM_85!AQ72</f>
        <v>875.68937646619963</v>
      </c>
      <c r="AF6" s="7">
        <f>[5]Final_quantities_w_ASM_85!AR72</f>
        <v>879.5030006208591</v>
      </c>
      <c r="AG6" s="7">
        <f>[5]Final_quantities_w_ASM_85!AS72</f>
        <v>1010.0340513717513</v>
      </c>
      <c r="AH6" s="7">
        <f>[5]Final_quantities_w_ASM_85!AT72</f>
        <v>1014.9082713994884</v>
      </c>
      <c r="AI6" s="7">
        <f>[5]Final_quantities_w_ASM_85!AU72</f>
        <v>913.03864427382496</v>
      </c>
      <c r="AJ6" s="7">
        <f>[5]Final_quantities_w_ASM_85!AV72</f>
        <v>1083.4351711054369</v>
      </c>
      <c r="AK6" s="7">
        <f>[5]Final_quantities_w_ASM_85!AW72</f>
        <v>961.05497076023414</v>
      </c>
      <c r="AL6" s="7">
        <f>[5]Final_quantities_w_ASM_85!AX72</f>
        <v>965.06225738030412</v>
      </c>
      <c r="AM6" s="7">
        <f>[5]Final_quantities_w_ASM_85!AY72</f>
        <v>906.99041646093497</v>
      </c>
      <c r="AN6" s="7">
        <f>[5]Final_quantities_w_ASM_85!AZ72</f>
        <v>939.71891092574265</v>
      </c>
      <c r="AO6" s="7">
        <f>[5]Final_quantities_w_ASM_85!BA72</f>
        <v>929.61439588688961</v>
      </c>
      <c r="AP6" s="7">
        <f>[5]Final_quantities_w_ASM_85!BB72</f>
        <v>1031.3117559508223</v>
      </c>
      <c r="AQ6" s="7">
        <f>[5]Final_quantities_w_ASM_85!BC72</f>
        <v>1062.4019846207495</v>
      </c>
      <c r="AR6" s="7">
        <f>[5]Final_quantities_w_ASM_85!BD72</f>
        <v>972.34043510899312</v>
      </c>
      <c r="AT6" s="7">
        <f t="shared" ref="AT6:AT23" si="2">AF51</f>
        <v>958</v>
      </c>
    </row>
    <row r="7" spans="2:46" x14ac:dyDescent="0.2">
      <c r="F7" t="s">
        <v>13</v>
      </c>
      <c r="G7" s="7">
        <f>'ASM_Fuel_Cost_1985-88'!E192</f>
        <v>689.94182486657019</v>
      </c>
      <c r="H7" s="7">
        <f>'ASM_Fuel_Cost_1985-88'!F192</f>
        <v>594.20827022001254</v>
      </c>
      <c r="I7" s="7">
        <f>'ASM_Fuel_Cost_1985-88'!G192</f>
        <v>589.54781319867914</v>
      </c>
      <c r="J7" s="7">
        <f>'ASM_Fuel_Cost_1985-88'!H192</f>
        <v>565.85715667356749</v>
      </c>
      <c r="L7" s="7">
        <f>[5]Final_quantities_w_ASM_85!X73</f>
        <v>156.14140432625024</v>
      </c>
      <c r="M7" s="7">
        <f>[5]Final_quantities_w_ASM_85!Y73</f>
        <v>167.34431376858674</v>
      </c>
      <c r="N7" s="7">
        <f>[5]Final_quantities_w_ASM_85!Z73</f>
        <v>172.60133796131424</v>
      </c>
      <c r="O7" s="7">
        <f>[5]Final_quantities_w_ASM_85!AA73</f>
        <v>168.48905994885055</v>
      </c>
      <c r="P7" s="7">
        <f>[5]Final_quantities_w_ASM_85!AB73</f>
        <v>167.44427557233792</v>
      </c>
      <c r="Q7" s="7">
        <f>[5]Final_quantities_w_ASM_85!AC73</f>
        <v>155.89053627343949</v>
      </c>
      <c r="R7" s="7">
        <f>[5]Final_quantities_w_ASM_85!AD73</f>
        <v>167.22964134569051</v>
      </c>
      <c r="S7" s="7">
        <f>[5]Final_quantities_w_ASM_85!AE73</f>
        <v>171.780636136151</v>
      </c>
      <c r="T7" s="7">
        <f>[5]Final_quantities_w_ASM_85!AF73</f>
        <v>179.66474753861871</v>
      </c>
      <c r="U7" s="7">
        <f>[5]Final_quantities_w_ASM_85!AG73</f>
        <v>192.94392268146368</v>
      </c>
      <c r="V7" s="7">
        <f>[5]Final_quantities_w_ASM_85!AH73</f>
        <v>191.14160925904667</v>
      </c>
      <c r="W7" s="7">
        <f>[5]Final_quantities_w_ASM_85!AI73</f>
        <v>167.54192400221055</v>
      </c>
      <c r="X7" s="7">
        <f>[5]Final_quantities_w_ASM_85!AJ73</f>
        <v>171.25976029373552</v>
      </c>
      <c r="Y7" s="7">
        <f>[5]Final_quantities_w_ASM_85!AK73</f>
        <v>184.88701298701298</v>
      </c>
      <c r="Z7" s="7">
        <f>[5]Final_quantities_w_ASM_85!AL73</f>
        <v>188.23985610079663</v>
      </c>
      <c r="AA7" s="7">
        <f>[5]Final_quantities_w_ASM_85!AM73</f>
        <v>157.68810502113217</v>
      </c>
      <c r="AB7" s="7">
        <f>[5]Final_quantities_w_ASM_85!AN73</f>
        <v>157.15177870950743</v>
      </c>
      <c r="AC7" s="7">
        <f>[5]Final_quantities_w_ASM_85!AO73</f>
        <v>162.30000000000001</v>
      </c>
      <c r="AD7" s="7">
        <f>[5]Final_quantities_w_ASM_85!AP73</f>
        <v>144.99139660239163</v>
      </c>
      <c r="AE7" s="7">
        <f>[5]Final_quantities_w_ASM_85!AQ73</f>
        <v>150.02478759448186</v>
      </c>
      <c r="AF7" s="7">
        <f>[5]Final_quantities_w_ASM_85!AR73</f>
        <v>157.1355821403335</v>
      </c>
      <c r="AG7" s="7">
        <f>[5]Final_quantities_w_ASM_85!AS73</f>
        <v>163.6</v>
      </c>
      <c r="AH7" s="7">
        <f>[5]Final_quantities_w_ASM_85!AT73</f>
        <v>116.9141369731656</v>
      </c>
      <c r="AI7" s="7">
        <f>[5]Final_quantities_w_ASM_85!AU73</f>
        <v>99.127801493282846</v>
      </c>
      <c r="AJ7" s="7">
        <f>[5]Final_quantities_w_ASM_85!AV73</f>
        <v>91.065778756817252</v>
      </c>
      <c r="AK7" s="7">
        <f>[5]Final_quantities_w_ASM_85!AW73</f>
        <v>60.599999999999994</v>
      </c>
      <c r="AL7" s="7">
        <f>[5]Final_quantities_w_ASM_85!AX73</f>
        <v>63.759298239815969</v>
      </c>
      <c r="AM7" s="7">
        <f>[5]Final_quantities_w_ASM_85!AY73</f>
        <v>66.642472965386673</v>
      </c>
      <c r="AN7" s="7">
        <f>[5]Final_quantities_w_ASM_85!AZ73</f>
        <v>73.640984069131306</v>
      </c>
      <c r="AO7" s="7">
        <f>[5]Final_quantities_w_ASM_85!BA73</f>
        <v>76.296918456253877</v>
      </c>
      <c r="AP7" s="7">
        <f>[5]Final_quantities_w_ASM_85!BB73</f>
        <v>78.955706526187896</v>
      </c>
      <c r="AQ7" s="7">
        <f>[5]Final_quantities_w_ASM_85!BC73</f>
        <v>83.013391258306129</v>
      </c>
      <c r="AR7" s="7">
        <f>[5]Final_quantities_w_ASM_85!BD73</f>
        <v>61.908564784687663</v>
      </c>
      <c r="AT7" s="7">
        <f t="shared" si="2"/>
        <v>62</v>
      </c>
    </row>
    <row r="8" spans="2:46" x14ac:dyDescent="0.2">
      <c r="F8" t="s">
        <v>14</v>
      </c>
      <c r="G8" s="7">
        <f>'ASM_Fuel_Cost_1985-88'!E193</f>
        <v>203.78944884475555</v>
      </c>
      <c r="H8" s="7">
        <f>'ASM_Fuel_Cost_1985-88'!F193</f>
        <v>201.39959390094714</v>
      </c>
      <c r="I8" s="7">
        <f>'ASM_Fuel_Cost_1985-88'!G193</f>
        <v>185.6482772258461</v>
      </c>
      <c r="J8" s="7">
        <f>'ASM_Fuel_Cost_1985-88'!H193</f>
        <v>188.36402148017382</v>
      </c>
      <c r="L8" s="7">
        <f>[5]Final_quantities_w_ASM_85!X74</f>
        <v>26.617232125336574</v>
      </c>
      <c r="M8" s="7">
        <f>[5]Final_quantities_w_ASM_85!Y74</f>
        <v>36.94431091108774</v>
      </c>
      <c r="N8" s="7">
        <f>[5]Final_quantities_w_ASM_85!Z74</f>
        <v>40.198958106399957</v>
      </c>
      <c r="O8" s="7">
        <f>[5]Final_quantities_w_ASM_85!AA74</f>
        <v>45.342645534134824</v>
      </c>
      <c r="P8" s="7">
        <f>[5]Final_quantities_w_ASM_85!AB74</f>
        <v>37.979467485868135</v>
      </c>
      <c r="Q8" s="7">
        <f>[5]Final_quantities_w_ASM_85!AC74</f>
        <v>33.550411325657592</v>
      </c>
      <c r="R8" s="7">
        <f>[5]Final_quantities_w_ASM_85!AD74</f>
        <v>36.194401497141108</v>
      </c>
      <c r="S8" s="7">
        <f>[5]Final_quantities_w_ASM_85!AE74</f>
        <v>58.909949086980809</v>
      </c>
      <c r="T8" s="7">
        <f>[5]Final_quantities_w_ASM_85!AF74</f>
        <v>50.365507298591751</v>
      </c>
      <c r="U8" s="7">
        <f>[5]Final_quantities_w_ASM_85!AG74</f>
        <v>39.929519476868371</v>
      </c>
      <c r="V8" s="7">
        <f>[5]Final_quantities_w_ASM_85!AH74</f>
        <v>44.163792076903171</v>
      </c>
      <c r="W8" s="7">
        <f>[5]Final_quantities_w_ASM_85!AI74</f>
        <v>35.490357434615937</v>
      </c>
      <c r="X8" s="7">
        <f>[5]Final_quantities_w_ASM_85!AJ74</f>
        <v>33.505819680304022</v>
      </c>
      <c r="Y8" s="7">
        <f>[5]Final_quantities_w_ASM_85!AK74</f>
        <v>34.352962011865763</v>
      </c>
      <c r="Z8" s="7">
        <f>[5]Final_quantities_w_ASM_85!AL74</f>
        <v>33.91378664117839</v>
      </c>
      <c r="AA8" s="7">
        <f>[5]Final_quantities_w_ASM_85!AM74</f>
        <v>27.468197272697665</v>
      </c>
      <c r="AB8" s="7">
        <f>[5]Final_quantities_w_ASM_85!AN74</f>
        <v>25.827260729544228</v>
      </c>
      <c r="AC8" s="7">
        <f>[5]Final_quantities_w_ASM_85!AO74</f>
        <v>22.7</v>
      </c>
      <c r="AD8" s="7">
        <f>[5]Final_quantities_w_ASM_85!AP74</f>
        <v>13.671933610657817</v>
      </c>
      <c r="AE8" s="7">
        <f>[5]Final_quantities_w_ASM_85!AQ74</f>
        <v>13.341515538178815</v>
      </c>
      <c r="AF8" s="7">
        <f>[5]Final_quantities_w_ASM_85!AR74</f>
        <v>10.883701851925141</v>
      </c>
      <c r="AG8" s="7">
        <f>[5]Final_quantities_w_ASM_85!AS74</f>
        <v>9.2740514705882351</v>
      </c>
      <c r="AH8" s="7">
        <f>[5]Final_quantities_w_ASM_85!AT74</f>
        <v>5.9590066228234004</v>
      </c>
      <c r="AI8" s="7">
        <f>[5]Final_quantities_w_ASM_85!AU74</f>
        <v>3.2620457108962455</v>
      </c>
      <c r="AJ8" s="7">
        <f>[5]Final_quantities_w_ASM_85!AV74</f>
        <v>3.9356002601505464</v>
      </c>
      <c r="AK8" s="7">
        <f>[5]Final_quantities_w_ASM_85!AW74</f>
        <v>3.5020000000000007</v>
      </c>
      <c r="AL8" s="7">
        <f>[5]Final_quantities_w_ASM_85!AX74</f>
        <v>4.1315976302548876</v>
      </c>
      <c r="AM8" s="7">
        <f>[5]Final_quantities_w_ASM_85!AY74</f>
        <v>3.4739883654674677</v>
      </c>
      <c r="AN8" s="7">
        <f>[5]Final_quantities_w_ASM_85!AZ74</f>
        <v>3.6430636453559284</v>
      </c>
      <c r="AO8" s="7">
        <f>[5]Final_quantities_w_ASM_85!BA74</f>
        <v>3.7269389274625002</v>
      </c>
      <c r="AP8" s="7">
        <f>[5]Final_quantities_w_ASM_85!BB74</f>
        <v>5.5060349647632174</v>
      </c>
      <c r="AQ8" s="7">
        <f>[5]Final_quantities_w_ASM_85!BC74</f>
        <v>6.1677277628906131</v>
      </c>
      <c r="AR8" s="7">
        <f>[5]Final_quantities_w_ASM_85!BD74</f>
        <v>5.3133998769762787</v>
      </c>
      <c r="AT8" s="7">
        <f t="shared" si="2"/>
        <v>3</v>
      </c>
    </row>
    <row r="9" spans="2:46" x14ac:dyDescent="0.2">
      <c r="F9" t="s">
        <v>105</v>
      </c>
      <c r="G9" s="7">
        <f>'ASM_Fuel_Cost_1985-88'!E194</f>
        <v>401.80245156768564</v>
      </c>
      <c r="H9" s="7">
        <f>'ASM_Fuel_Cost_1985-88'!F194</f>
        <v>374.31985964227681</v>
      </c>
      <c r="I9" s="7">
        <f>'ASM_Fuel_Cost_1985-88'!G194</f>
        <v>382.84294194825804</v>
      </c>
      <c r="J9" s="7">
        <f>'ASM_Fuel_Cost_1985-88'!H194</f>
        <v>430.41565645205111</v>
      </c>
      <c r="L9" s="7">
        <f>[5]Final_quantities_w_ASM_85!X75</f>
        <v>248.79987339144392</v>
      </c>
      <c r="M9" s="7">
        <f>[5]Final_quantities_w_ASM_85!Y75</f>
        <v>255.75096288820842</v>
      </c>
      <c r="N9" s="7">
        <f>[5]Final_quantities_w_ASM_85!Z75</f>
        <v>293.32052036990052</v>
      </c>
      <c r="O9" s="7">
        <f>[5]Final_quantities_w_ASM_85!AA75</f>
        <v>302.60197307912358</v>
      </c>
      <c r="P9" s="7">
        <f>[5]Final_quantities_w_ASM_85!AB75</f>
        <v>314.9887421000052</v>
      </c>
      <c r="Q9" s="7">
        <f>[5]Final_quantities_w_ASM_85!AC75</f>
        <v>317.55370658139736</v>
      </c>
      <c r="R9" s="7">
        <f>[5]Final_quantities_w_ASM_85!AD75</f>
        <v>314.83245355703332</v>
      </c>
      <c r="S9" s="7">
        <f>[5]Final_quantities_w_ASM_85!AE75</f>
        <v>285.65263466533656</v>
      </c>
      <c r="T9" s="7">
        <f>[5]Final_quantities_w_ASM_85!AF75</f>
        <v>308.99770621726981</v>
      </c>
      <c r="U9" s="7">
        <f>[5]Final_quantities_w_ASM_85!AG75</f>
        <v>319.45866435321039</v>
      </c>
      <c r="V9" s="7">
        <f>[5]Final_quantities_w_ASM_85!AH75</f>
        <v>373.175688180669</v>
      </c>
      <c r="W9" s="7">
        <f>[5]Final_quantities_w_ASM_85!AI75</f>
        <v>354.54713892835093</v>
      </c>
      <c r="X9" s="7">
        <f>[5]Final_quantities_w_ASM_85!AJ75</f>
        <v>351.37930414555245</v>
      </c>
      <c r="Y9" s="7">
        <f>[5]Final_quantities_w_ASM_85!AK75</f>
        <v>432</v>
      </c>
      <c r="Z9" s="7">
        <f>[5]Final_quantities_w_ASM_85!AL75</f>
        <v>456.74360361562697</v>
      </c>
      <c r="AA9" s="7">
        <f>[5]Final_quantities_w_ASM_85!AM75</f>
        <v>395.2956117738114</v>
      </c>
      <c r="AB9" s="7">
        <f>[5]Final_quantities_w_ASM_85!AN75</f>
        <v>334.70967035316471</v>
      </c>
      <c r="AC9" s="7">
        <f>[5]Final_quantities_w_ASM_85!AO75</f>
        <v>303</v>
      </c>
      <c r="AD9" s="7">
        <f>[5]Final_quantities_w_ASM_85!AP75</f>
        <v>314.89295454903845</v>
      </c>
      <c r="AE9" s="7">
        <f>[5]Final_quantities_w_ASM_85!AQ75</f>
        <v>333.49578308882769</v>
      </c>
      <c r="AF9" s="7">
        <f>[5]Final_quantities_w_ASM_85!AR75</f>
        <v>327.45316910170362</v>
      </c>
      <c r="AG9" s="7">
        <f>[5]Final_quantities_w_ASM_85!AS75</f>
        <v>353.12376237623766</v>
      </c>
      <c r="AH9" s="7">
        <f>[5]Final_quantities_w_ASM_85!AT75</f>
        <v>383.76922853037314</v>
      </c>
      <c r="AI9" s="7">
        <f>[5]Final_quantities_w_ASM_85!AU75</f>
        <v>339.74192149723717</v>
      </c>
      <c r="AJ9" s="7">
        <f>[5]Final_quantities_w_ASM_85!AV75</f>
        <v>348.68727360175069</v>
      </c>
      <c r="AK9" s="7">
        <f>[5]Final_quantities_w_ASM_85!AW75</f>
        <v>416.41090047393362</v>
      </c>
      <c r="AL9" s="7">
        <f>[5]Final_quantities_w_ASM_85!AX75</f>
        <v>343.72654675382017</v>
      </c>
      <c r="AM9" s="7">
        <f>[5]Final_quantities_w_ASM_85!AY75</f>
        <v>267.67949452919697</v>
      </c>
      <c r="AN9" s="7">
        <f>[5]Final_quantities_w_ASM_85!AZ75</f>
        <v>299.22343011690577</v>
      </c>
      <c r="AO9" s="7">
        <f>[5]Final_quantities_w_ASM_85!BA75</f>
        <v>311.29065420560755</v>
      </c>
      <c r="AP9" s="7">
        <f>[5]Final_quantities_w_ASM_85!BB75</f>
        <v>386.62614340354691</v>
      </c>
      <c r="AQ9" s="7">
        <f>[5]Final_quantities_w_ASM_85!BC75</f>
        <v>429.70548513644457</v>
      </c>
      <c r="AR9" s="7">
        <f>[5]Final_quantities_w_ASM_85!BD75</f>
        <v>458.66192826003987</v>
      </c>
      <c r="AT9" s="7">
        <f t="shared" si="2"/>
        <v>418</v>
      </c>
    </row>
    <row r="10" spans="2:46" x14ac:dyDescent="0.2">
      <c r="F10" t="s">
        <v>106</v>
      </c>
      <c r="G10" s="7">
        <f>'ASM_Fuel_Cost_1985-88'!E195</f>
        <v>3379.5207023040175</v>
      </c>
      <c r="H10" s="7">
        <f>'ASM_Fuel_Cost_1985-88'!F195</f>
        <v>2707.5499517661369</v>
      </c>
      <c r="I10" s="7">
        <f>'ASM_Fuel_Cost_1985-88'!G195</f>
        <v>2570.2806333900285</v>
      </c>
      <c r="J10" s="7">
        <f>'ASM_Fuel_Cost_1985-88'!H195</f>
        <v>2554.6069730372656</v>
      </c>
      <c r="L10" s="7">
        <f>[5]Final_quantities_w_ASM_85!X76</f>
        <v>2017.3632372266718</v>
      </c>
      <c r="M10" s="7">
        <f>[5]Final_quantities_w_ASM_85!Y76</f>
        <v>1985.8799822003309</v>
      </c>
      <c r="N10" s="7">
        <f>[5]Final_quantities_w_ASM_85!Z76</f>
        <v>2039.394142819116</v>
      </c>
      <c r="O10" s="7">
        <f>[5]Final_quantities_w_ASM_85!AA76</f>
        <v>2153.9562641132611</v>
      </c>
      <c r="P10" s="7">
        <f>[5]Final_quantities_w_ASM_85!AB76</f>
        <v>2186.1253063093668</v>
      </c>
      <c r="Q10" s="7">
        <f>[5]Final_quantities_w_ASM_85!AC76</f>
        <v>2232.4561523667417</v>
      </c>
      <c r="R10" s="7">
        <f>[5]Final_quantities_w_ASM_85!AD76</f>
        <v>2267.2367478194155</v>
      </c>
      <c r="S10" s="7">
        <f>[5]Final_quantities_w_ASM_85!AE76</f>
        <v>2376.8968151839495</v>
      </c>
      <c r="T10" s="7">
        <f>[5]Final_quantities_w_ASM_85!AF76</f>
        <v>2413.8600589553034</v>
      </c>
      <c r="U10" s="7">
        <f>[5]Final_quantities_w_ASM_85!AG76</f>
        <v>2406.5414497255792</v>
      </c>
      <c r="V10" s="7">
        <f>[5]Final_quantities_w_ASM_85!AH76</f>
        <v>2475.5808788868676</v>
      </c>
      <c r="W10" s="7">
        <f>[5]Final_quantities_w_ASM_85!AI76</f>
        <v>2446.6406877806153</v>
      </c>
      <c r="X10" s="7">
        <f>[5]Final_quantities_w_ASM_85!AJ76</f>
        <v>2445.854889506194</v>
      </c>
      <c r="Y10" s="7">
        <f>[5]Final_quantities_w_ASM_85!AK76</f>
        <v>2505.7949820788535</v>
      </c>
      <c r="Z10" s="7">
        <f>[5]Final_quantities_w_ASM_85!AL76</f>
        <v>2466.2861515725422</v>
      </c>
      <c r="AA10" s="7">
        <f>[5]Final_quantities_w_ASM_85!AM76</f>
        <v>2357.5413304608142</v>
      </c>
      <c r="AB10" s="7">
        <f>[5]Final_quantities_w_ASM_85!AN76</f>
        <v>2297.97199140968</v>
      </c>
      <c r="AC10" s="7">
        <f>[5]Final_quantities_w_ASM_85!AO76</f>
        <v>2136.1695205479455</v>
      </c>
      <c r="AD10" s="7">
        <f>[5]Final_quantities_w_ASM_85!AP76</f>
        <v>2061.0989756446602</v>
      </c>
      <c r="AE10" s="7">
        <f>[5]Final_quantities_w_ASM_85!AQ76</f>
        <v>2027.4615451477271</v>
      </c>
      <c r="AF10" s="7">
        <f>[5]Final_quantities_w_ASM_85!AR76</f>
        <v>2040.7868399388217</v>
      </c>
      <c r="AG10" s="7">
        <f>[5]Final_quantities_w_ASM_85!AS76</f>
        <v>2106.0000000000005</v>
      </c>
      <c r="AH10" s="7">
        <f>[5]Final_quantities_w_ASM_85!AT76</f>
        <v>2089.7893193026234</v>
      </c>
      <c r="AI10" s="7">
        <f>[5]Final_quantities_w_ASM_85!AU76</f>
        <v>1905.1972256137692</v>
      </c>
      <c r="AJ10" s="7">
        <f>[5]Final_quantities_w_ASM_85!AV76</f>
        <v>1774.1877172586446</v>
      </c>
      <c r="AK10" s="7">
        <f>[5]Final_quantities_w_ASM_85!AW76</f>
        <v>1904.3998060796648</v>
      </c>
      <c r="AL10" s="7">
        <f>[5]Final_quantities_w_ASM_85!AX76</f>
        <v>1722.3500218061683</v>
      </c>
      <c r="AM10" s="7">
        <f>[5]Final_quantities_w_ASM_85!AY76</f>
        <v>1679.0231911427602</v>
      </c>
      <c r="AN10" s="7">
        <f>[5]Final_quantities_w_ASM_85!AZ76</f>
        <v>1810.9037299694319</v>
      </c>
      <c r="AO10" s="7">
        <f>[5]Final_quantities_w_ASM_85!BA76</f>
        <v>1898.9999999999995</v>
      </c>
      <c r="AP10" s="7">
        <f>[5]Final_quantities_w_ASM_85!BB76</f>
        <v>1916.5339866445672</v>
      </c>
      <c r="AQ10" s="7">
        <f>[5]Final_quantities_w_ASM_85!BC76</f>
        <v>1920.6028756718426</v>
      </c>
      <c r="AR10" s="7">
        <f>[5]Final_quantities_w_ASM_85!BD76</f>
        <v>1793.6389598515493</v>
      </c>
      <c r="AT10" s="7">
        <f t="shared" si="2"/>
        <v>1904</v>
      </c>
    </row>
    <row r="11" spans="2:46" x14ac:dyDescent="0.2">
      <c r="F11" t="s">
        <v>107</v>
      </c>
      <c r="G11" s="7">
        <f>'ASM_Fuel_Cost_1985-88'!E196</f>
        <v>203.20549652414306</v>
      </c>
      <c r="H11" s="7">
        <f>'ASM_Fuel_Cost_1985-88'!F196</f>
        <v>190.29348059917146</v>
      </c>
      <c r="I11" s="7">
        <f>'ASM_Fuel_Cost_1985-88'!G196</f>
        <v>192.41020452129794</v>
      </c>
      <c r="J11" s="7">
        <f>'ASM_Fuel_Cost_1985-88'!H196</f>
        <v>208.35619140131752</v>
      </c>
      <c r="L11" s="7">
        <f>[5]Final_quantities_w_ASM_85!X77</f>
        <v>26.699079874753146</v>
      </c>
      <c r="M11" s="7">
        <f>[5]Final_quantities_w_ASM_85!Y77</f>
        <v>31.398684042991391</v>
      </c>
      <c r="N11" s="7">
        <f>[5]Final_quantities_w_ASM_85!Z77</f>
        <v>35.457031000499875</v>
      </c>
      <c r="O11" s="7">
        <f>[5]Final_quantities_w_ASM_85!AA77</f>
        <v>40.089746346787358</v>
      </c>
      <c r="P11" s="7">
        <f>[5]Final_quantities_w_ASM_85!AB77</f>
        <v>41.243633713675216</v>
      </c>
      <c r="Q11" s="7">
        <f>[5]Final_quantities_w_ASM_85!AC77</f>
        <v>40.250360783695896</v>
      </c>
      <c r="R11" s="7">
        <f>[5]Final_quantities_w_ASM_85!AD77</f>
        <v>38.576483481067754</v>
      </c>
      <c r="S11" s="7">
        <f>[5]Final_quantities_w_ASM_85!AE77</f>
        <v>38.178392597320695</v>
      </c>
      <c r="T11" s="7">
        <f>[5]Final_quantities_w_ASM_85!AF77</f>
        <v>35.271440939704888</v>
      </c>
      <c r="U11" s="7">
        <f>[5]Final_quantities_w_ASM_85!AG77</f>
        <v>37.113573244007689</v>
      </c>
      <c r="V11" s="7">
        <f>[5]Final_quantities_w_ASM_85!AH77</f>
        <v>43.25702920359759</v>
      </c>
      <c r="W11" s="7">
        <f>[5]Final_quantities_w_ASM_85!AI77</f>
        <v>40.451540553393649</v>
      </c>
      <c r="X11" s="7">
        <f>[5]Final_quantities_w_ASM_85!AJ77</f>
        <v>40.780165270667837</v>
      </c>
      <c r="Y11" s="7">
        <f>[5]Final_quantities_w_ASM_85!AK77</f>
        <v>47.255434782608695</v>
      </c>
      <c r="Z11" s="7">
        <f>[5]Final_quantities_w_ASM_85!AL77</f>
        <v>52.429436120466939</v>
      </c>
      <c r="AA11" s="7">
        <f>[5]Final_quantities_w_ASM_85!AM77</f>
        <v>44.186389717811394</v>
      </c>
      <c r="AB11" s="7">
        <f>[5]Final_quantities_w_ASM_85!AN77</f>
        <v>44.126805930480998</v>
      </c>
      <c r="AC11" s="7">
        <f>[5]Final_quantities_w_ASM_85!AO77</f>
        <v>47.999999999999993</v>
      </c>
      <c r="AD11" s="7">
        <f>[5]Final_quantities_w_ASM_85!AP77</f>
        <v>39.819085106720387</v>
      </c>
      <c r="AE11" s="7">
        <f>[5]Final_quantities_w_ASM_85!AQ77</f>
        <v>40.048290629951197</v>
      </c>
      <c r="AF11" s="7">
        <f>[5]Final_quantities_w_ASM_85!AR77</f>
        <v>36.781764992887744</v>
      </c>
      <c r="AG11" s="7">
        <f>[5]Final_quantities_w_ASM_85!AS77</f>
        <v>40.35</v>
      </c>
      <c r="AH11" s="7">
        <f>[5]Final_quantities_w_ASM_85!AT77</f>
        <v>40.75902803217263</v>
      </c>
      <c r="AI11" s="7">
        <f>[5]Final_quantities_w_ASM_85!AU77</f>
        <v>32.249641305954945</v>
      </c>
      <c r="AJ11" s="7">
        <f>[5]Final_quantities_w_ASM_85!AV77</f>
        <v>42.464577577756309</v>
      </c>
      <c r="AK11" s="7">
        <f>[5]Final_quantities_w_ASM_85!AW77</f>
        <v>35.52710201004745</v>
      </c>
      <c r="AL11" s="7">
        <f>[5]Final_quantities_w_ASM_85!AX77</f>
        <v>39.437232817433554</v>
      </c>
      <c r="AM11" s="7">
        <f>[5]Final_quantities_w_ASM_85!AY77</f>
        <v>40.905157154680516</v>
      </c>
      <c r="AN11" s="7">
        <f>[5]Final_quantities_w_ASM_85!AZ77</f>
        <v>41.407237565591984</v>
      </c>
      <c r="AO11" s="7">
        <f>[5]Final_quantities_w_ASM_85!BA77</f>
        <v>40.506738095942879</v>
      </c>
      <c r="AP11" s="7">
        <f>[5]Final_quantities_w_ASM_85!BB77</f>
        <v>42.302114908524757</v>
      </c>
      <c r="AQ11" s="7">
        <f>[5]Final_quantities_w_ASM_85!BC77</f>
        <v>49.444781462339549</v>
      </c>
      <c r="AR11" s="7">
        <f>[5]Final_quantities_w_ASM_85!BD77</f>
        <v>60.250921660022009</v>
      </c>
      <c r="AT11" s="7">
        <f t="shared" si="2"/>
        <v>36</v>
      </c>
    </row>
    <row r="12" spans="2:46" x14ac:dyDescent="0.2">
      <c r="F12" t="s">
        <v>108</v>
      </c>
      <c r="G12" s="7">
        <f>'ASM_Fuel_Cost_1985-88'!E197</f>
        <v>3547.1507976792809</v>
      </c>
      <c r="H12" s="7">
        <f>'ASM_Fuel_Cost_1985-88'!F197</f>
        <v>2630.5883292760632</v>
      </c>
      <c r="I12" s="7">
        <f>'ASM_Fuel_Cost_1985-88'!G197</f>
        <v>2005.2681389961647</v>
      </c>
      <c r="J12" s="7">
        <f>'ASM_Fuel_Cost_1985-88'!H197</f>
        <v>2099.9469002005153</v>
      </c>
      <c r="L12" s="7">
        <f>[5]Final_quantities_w_ASM_85!X78</f>
        <v>2519.63338026471</v>
      </c>
      <c r="M12" s="7">
        <f>[5]Final_quantities_w_ASM_85!Y78</f>
        <v>2626.7910501830515</v>
      </c>
      <c r="N12" s="7">
        <f>[5]Final_quantities_w_ASM_85!Z78</f>
        <v>2540.5233690368532</v>
      </c>
      <c r="O12" s="7">
        <f>[5]Final_quantities_w_ASM_85!AA78</f>
        <v>3018.3157833208884</v>
      </c>
      <c r="P12" s="7">
        <f>[5]Final_quantities_w_ASM_85!AB78</f>
        <v>2915.2969285910458</v>
      </c>
      <c r="Q12" s="7">
        <f>[5]Final_quantities_w_ASM_85!AC78</f>
        <v>3124.7889425288813</v>
      </c>
      <c r="R12" s="7">
        <f>[5]Final_quantities_w_ASM_85!AD78</f>
        <v>2884.3712617836491</v>
      </c>
      <c r="S12" s="7">
        <f>[5]Final_quantities_w_ASM_85!AE78</f>
        <v>2872.0335311985223</v>
      </c>
      <c r="T12" s="7">
        <f>[5]Final_quantities_w_ASM_85!AF78</f>
        <v>3246.954653256812</v>
      </c>
      <c r="U12" s="7">
        <f>[5]Final_quantities_w_ASM_85!AG78</f>
        <v>3144.6947232151388</v>
      </c>
      <c r="V12" s="7">
        <f>[5]Final_quantities_w_ASM_85!AH78</f>
        <v>3137.1820875101562</v>
      </c>
      <c r="W12" s="7">
        <f>[5]Final_quantities_w_ASM_85!AI78</f>
        <v>3074.5702595876492</v>
      </c>
      <c r="X12" s="7">
        <f>[5]Final_quantities_w_ASM_85!AJ78</f>
        <v>2948.5478262636057</v>
      </c>
      <c r="Y12" s="7">
        <f>[5]Final_quantities_w_ASM_85!AK78</f>
        <v>3493.6554396423253</v>
      </c>
      <c r="Z12" s="7">
        <f>[5]Final_quantities_w_ASM_85!AL78</f>
        <v>3736.3431541042128</v>
      </c>
      <c r="AA12" s="7">
        <f>[5]Final_quantities_w_ASM_85!AM78</f>
        <v>3908.8030195986717</v>
      </c>
      <c r="AB12" s="7">
        <f>[5]Final_quantities_w_ASM_85!AN78</f>
        <v>3382.1146834966976</v>
      </c>
      <c r="AC12" s="7">
        <f>[5]Final_quantities_w_ASM_85!AO78</f>
        <v>3078.3275659917545</v>
      </c>
      <c r="AD12" s="7">
        <f>[5]Final_quantities_w_ASM_85!AP78</f>
        <v>2950.6917979983832</v>
      </c>
      <c r="AE12" s="7">
        <f>[5]Final_quantities_w_ASM_85!AQ78</f>
        <v>3027.5914683284677</v>
      </c>
      <c r="AF12" s="7">
        <f>[5]Final_quantities_w_ASM_85!AR78</f>
        <v>3195.1166606685088</v>
      </c>
      <c r="AG12" s="7">
        <f>[5]Final_quantities_w_ASM_85!AS78</f>
        <v>3260.2538940809955</v>
      </c>
      <c r="AH12" s="7">
        <f>[5]Final_quantities_w_ASM_85!AT78</f>
        <v>3222.6008647385552</v>
      </c>
      <c r="AI12" s="7">
        <f>[5]Final_quantities_w_ASM_85!AU78</f>
        <v>3288.0988408287712</v>
      </c>
      <c r="AJ12" s="7">
        <f>[5]Final_quantities_w_ASM_85!AV78</f>
        <v>2781.8573328344087</v>
      </c>
      <c r="AK12" s="7">
        <f>[5]Final_quantities_w_ASM_85!AW78</f>
        <v>3147.3372968185213</v>
      </c>
      <c r="AL12" s="7">
        <f>[5]Final_quantities_w_ASM_85!AX78</f>
        <v>3109.545515445267</v>
      </c>
      <c r="AM12" s="7">
        <f>[5]Final_quantities_w_ASM_85!AY78</f>
        <v>2939.5570144953585</v>
      </c>
      <c r="AN12" s="7">
        <f>[5]Final_quantities_w_ASM_85!AZ78</f>
        <v>3134.1527705180711</v>
      </c>
      <c r="AO12" s="7">
        <f>[5]Final_quantities_w_ASM_85!BA78</f>
        <v>3338.9329138305857</v>
      </c>
      <c r="AP12" s="7">
        <f>[5]Final_quantities_w_ASM_85!BB78</f>
        <v>2656.8840636528621</v>
      </c>
      <c r="AQ12" s="7">
        <f>[5]Final_quantities_w_ASM_85!BC78</f>
        <v>2387.9743139267994</v>
      </c>
      <c r="AR12" s="7">
        <f>[5]Final_quantities_w_ASM_85!BD78</f>
        <v>2647.9446254290788</v>
      </c>
      <c r="AT12" s="7">
        <f t="shared" si="2"/>
        <v>3159</v>
      </c>
    </row>
    <row r="13" spans="2:46" x14ac:dyDescent="0.2">
      <c r="F13" t="s">
        <v>109</v>
      </c>
      <c r="G13" s="7">
        <f>'ASM_Fuel_Cost_1985-88'!E198</f>
        <v>5393.3412160308235</v>
      </c>
      <c r="H13" s="7">
        <f>'ASM_Fuel_Cost_1985-88'!F198</f>
        <v>3965.8641148265406</v>
      </c>
      <c r="I13" s="7">
        <f>'ASM_Fuel_Cost_1985-88'!G198</f>
        <v>4099.6095384634755</v>
      </c>
      <c r="J13" s="7">
        <f>'ASM_Fuel_Cost_1985-88'!H198</f>
        <v>4322.7829621897454</v>
      </c>
      <c r="L13" s="7">
        <f>[5]Final_quantities_w_ASM_85!X79</f>
        <v>1982.3306729500534</v>
      </c>
      <c r="M13" s="7">
        <f>[5]Final_quantities_w_ASM_85!Y79</f>
        <v>1831.8447835330508</v>
      </c>
      <c r="N13" s="7">
        <f>[5]Final_quantities_w_ASM_85!Z79</f>
        <v>2195.6054591308875</v>
      </c>
      <c r="O13" s="7">
        <f>[5]Final_quantities_w_ASM_85!AA79</f>
        <v>2425.2974275342949</v>
      </c>
      <c r="P13" s="7">
        <f>[5]Final_quantities_w_ASM_85!AB79</f>
        <v>2499.3203693504861</v>
      </c>
      <c r="Q13" s="7">
        <f>[5]Final_quantities_w_ASM_85!AC79</f>
        <v>2517.1130386253212</v>
      </c>
      <c r="R13" s="7">
        <f>[5]Final_quantities_w_ASM_85!AD79</f>
        <v>2577.2858974832006</v>
      </c>
      <c r="S13" s="7">
        <f>[5]Final_quantities_w_ASM_85!AE79</f>
        <v>2632.2200280541119</v>
      </c>
      <c r="T13" s="7">
        <f>[5]Final_quantities_w_ASM_85!AF79</f>
        <v>2820.3739697938508</v>
      </c>
      <c r="U13" s="7">
        <f>[5]Final_quantities_w_ASM_85!AG79</f>
        <v>2729.1714558311164</v>
      </c>
      <c r="V13" s="7">
        <f>[5]Final_quantities_w_ASM_85!AH79</f>
        <v>2877.7113539601519</v>
      </c>
      <c r="W13" s="7">
        <f>[5]Final_quantities_w_ASM_85!AI79</f>
        <v>2983.6516701829264</v>
      </c>
      <c r="X13" s="7">
        <f>[5]Final_quantities_w_ASM_85!AJ79</f>
        <v>2818.2070871225924</v>
      </c>
      <c r="Y13" s="7">
        <f>[5]Final_quantities_w_ASM_85!AK79</f>
        <v>3127</v>
      </c>
      <c r="Z13" s="7">
        <f>[5]Final_quantities_w_ASM_85!AL79</f>
        <v>3499.0846460186303</v>
      </c>
      <c r="AA13" s="7">
        <f>[5]Final_quantities_w_ASM_85!AM79</f>
        <v>3615.4499280794535</v>
      </c>
      <c r="AB13" s="7">
        <f>[5]Final_quantities_w_ASM_85!AN79</f>
        <v>3550.8175242749526</v>
      </c>
      <c r="AC13" s="7">
        <f>[5]Final_quantities_w_ASM_85!AO79</f>
        <v>3245.7525931617365</v>
      </c>
      <c r="AD13" s="7">
        <f>[5]Final_quantities_w_ASM_85!AP79</f>
        <v>2887.3204449333057</v>
      </c>
      <c r="AE13" s="7">
        <f>[5]Final_quantities_w_ASM_85!AQ79</f>
        <v>2813.1745300934667</v>
      </c>
      <c r="AF13" s="7">
        <f>[5]Final_quantities_w_ASM_85!AR79</f>
        <v>2731.4499906760025</v>
      </c>
      <c r="AG13" s="7">
        <f>[5]Final_quantities_w_ASM_85!AS79</f>
        <v>2677.1199372759856</v>
      </c>
      <c r="AH13" s="7">
        <f>[5]Final_quantities_w_ASM_85!AT79</f>
        <v>2785.5006952098734</v>
      </c>
      <c r="AI13" s="7">
        <f>[5]Final_quantities_w_ASM_85!AU79</f>
        <v>2693.4163460258669</v>
      </c>
      <c r="AJ13" s="7">
        <f>[5]Final_quantities_w_ASM_85!AV79</f>
        <v>2420.7423027964383</v>
      </c>
      <c r="AK13" s="7">
        <f>[5]Final_quantities_w_ASM_85!AW79</f>
        <v>2772.1478873239439</v>
      </c>
      <c r="AL13" s="7">
        <f>[5]Final_quantities_w_ASM_85!AX79</f>
        <v>2866.2871107330457</v>
      </c>
      <c r="AM13" s="7">
        <f>[5]Final_quantities_w_ASM_85!AY79</f>
        <v>2722.0241383753632</v>
      </c>
      <c r="AN13" s="7">
        <f>[5]Final_quantities_w_ASM_85!AZ79</f>
        <v>3073.7895835344953</v>
      </c>
      <c r="AO13" s="7">
        <f>[5]Final_quantities_w_ASM_85!BA79</f>
        <v>3070.1568036185454</v>
      </c>
      <c r="AP13" s="7">
        <f>[5]Final_quantities_w_ASM_85!BB79</f>
        <v>3262.5386054009673</v>
      </c>
      <c r="AQ13" s="7">
        <f>[5]Final_quantities_w_ASM_85!BC79</f>
        <v>3612.8904992357247</v>
      </c>
      <c r="AR13" s="7">
        <f>[5]Final_quantities_w_ASM_85!BD79</f>
        <v>3287.4152856876985</v>
      </c>
      <c r="AT13" s="7">
        <f t="shared" si="2"/>
        <v>2772</v>
      </c>
    </row>
    <row r="14" spans="2:46" x14ac:dyDescent="0.2">
      <c r="F14" t="s">
        <v>110</v>
      </c>
      <c r="G14" s="7">
        <f>'ASM_Fuel_Cost_1985-88'!E199</f>
        <v>577.40684679445974</v>
      </c>
      <c r="H14" s="7">
        <f>'ASM_Fuel_Cost_1985-88'!F199</f>
        <v>500.98535236578118</v>
      </c>
      <c r="I14" s="7">
        <f>'ASM_Fuel_Cost_1985-88'!G199</f>
        <v>532.46520914941027</v>
      </c>
      <c r="J14" s="7">
        <f>'ASM_Fuel_Cost_1985-88'!H199</f>
        <v>521.69578446027401</v>
      </c>
      <c r="L14" s="7">
        <f>[5]Final_quantities_w_ASM_85!X80</f>
        <v>128.43055874180072</v>
      </c>
      <c r="M14" s="7">
        <f>[5]Final_quantities_w_ASM_85!Y80</f>
        <v>135.02187702867309</v>
      </c>
      <c r="N14" s="7">
        <f>[5]Final_quantities_w_ASM_85!Z80</f>
        <v>151.42293972634727</v>
      </c>
      <c r="O14" s="7">
        <f>[5]Final_quantities_w_ASM_85!AA80</f>
        <v>150.3658265007939</v>
      </c>
      <c r="P14" s="7">
        <f>[5]Final_quantities_w_ASM_85!AB80</f>
        <v>156.13332627095835</v>
      </c>
      <c r="Q14" s="7">
        <f>[5]Final_quantities_w_ASM_85!AC80</f>
        <v>135.02276624658086</v>
      </c>
      <c r="R14" s="7">
        <f>[5]Final_quantities_w_ASM_85!AD80</f>
        <v>125.61488437265321</v>
      </c>
      <c r="S14" s="7">
        <f>[5]Final_quantities_w_ASM_85!AE80</f>
        <v>132.95089229393824</v>
      </c>
      <c r="T14" s="7">
        <f>[5]Final_quantities_w_ASM_85!AF80</f>
        <v>136.7725601149063</v>
      </c>
      <c r="U14" s="7">
        <f>[5]Final_quantities_w_ASM_85!AG80</f>
        <v>141.58522460569182</v>
      </c>
      <c r="V14" s="7">
        <f>[5]Final_quantities_w_ASM_85!AH80</f>
        <v>151.69609990683583</v>
      </c>
      <c r="W14" s="7">
        <f>[5]Final_quantities_w_ASM_85!AI80</f>
        <v>145.38823254756315</v>
      </c>
      <c r="X14" s="7">
        <f>[5]Final_quantities_w_ASM_85!AJ80</f>
        <v>135.01773382603429</v>
      </c>
      <c r="Y14" s="7">
        <f>[5]Final_quantities_w_ASM_85!AK80</f>
        <v>143.99999999999997</v>
      </c>
      <c r="Z14" s="7">
        <f>[5]Final_quantities_w_ASM_85!AL80</f>
        <v>163.56991469844127</v>
      </c>
      <c r="AA14" s="7">
        <f>[5]Final_quantities_w_ASM_85!AM80</f>
        <v>170.58395962791082</v>
      </c>
      <c r="AB14" s="7">
        <f>[5]Final_quantities_w_ASM_85!AN80</f>
        <v>171.22325317288383</v>
      </c>
      <c r="AC14" s="7">
        <f>[5]Final_quantities_w_ASM_85!AO80</f>
        <v>167</v>
      </c>
      <c r="AD14" s="7">
        <f>[5]Final_quantities_w_ASM_85!AP80</f>
        <v>162.7784632070167</v>
      </c>
      <c r="AE14" s="7">
        <f>[5]Final_quantities_w_ASM_85!AQ80</f>
        <v>156.67125624274865</v>
      </c>
      <c r="AF14" s="7">
        <f>[5]Final_quantities_w_ASM_85!AR80</f>
        <v>150.50807661917673</v>
      </c>
      <c r="AG14" s="7">
        <f>[5]Final_quantities_w_ASM_85!AS80</f>
        <v>154.00000000000003</v>
      </c>
      <c r="AH14" s="7">
        <f>[5]Final_quantities_w_ASM_85!AT80</f>
        <v>143.21940204794154</v>
      </c>
      <c r="AI14" s="7">
        <f>[5]Final_quantities_w_ASM_85!AU80</f>
        <v>118.89981208929392</v>
      </c>
      <c r="AJ14" s="7">
        <f>[5]Final_quantities_w_ASM_85!AV80</f>
        <v>111.49481576343651</v>
      </c>
      <c r="AK14" s="7">
        <f>[5]Final_quantities_w_ASM_85!AW80</f>
        <v>115.79826086956521</v>
      </c>
      <c r="AL14" s="7">
        <f>[5]Final_quantities_w_ASM_85!AX80</f>
        <v>111.97807675207314</v>
      </c>
      <c r="AM14" s="7">
        <f>[5]Final_quantities_w_ASM_85!AY80</f>
        <v>105.09980018682629</v>
      </c>
      <c r="AN14" s="7">
        <f>[5]Final_quantities_w_ASM_85!AZ80</f>
        <v>104.22994834378125</v>
      </c>
      <c r="AO14" s="7">
        <f>[5]Final_quantities_w_ASM_85!BA80</f>
        <v>95.274588841602124</v>
      </c>
      <c r="AP14" s="7">
        <f>[5]Final_quantities_w_ASM_85!BB80</f>
        <v>108.2332051449159</v>
      </c>
      <c r="AQ14" s="7">
        <f>[5]Final_quantities_w_ASM_85!BC80</f>
        <v>123.23337524748891</v>
      </c>
      <c r="AR14" s="7">
        <f>[5]Final_quantities_w_ASM_85!BD80</f>
        <v>144.19080245480399</v>
      </c>
      <c r="AT14" s="7">
        <f t="shared" si="2"/>
        <v>116</v>
      </c>
    </row>
    <row r="15" spans="2:46" x14ac:dyDescent="0.2">
      <c r="F15" t="s">
        <v>111</v>
      </c>
      <c r="G15" s="7">
        <f>'ASM_Fuel_Cost_1985-88'!E200</f>
        <v>2657.2371263069717</v>
      </c>
      <c r="H15" s="7">
        <f>'ASM_Fuel_Cost_1985-88'!F200</f>
        <v>2301.1589518966789</v>
      </c>
      <c r="I15" s="7">
        <f>'ASM_Fuel_Cost_1985-88'!G200</f>
        <v>2070.8730671264161</v>
      </c>
      <c r="J15" s="7">
        <f>'ASM_Fuel_Cost_1985-88'!H200</f>
        <v>2013.6765729498679</v>
      </c>
      <c r="L15" s="7">
        <f>[5]Final_quantities_w_ASM_85!X81</f>
        <v>791.01545520082448</v>
      </c>
      <c r="M15" s="7">
        <f>[5]Final_quantities_w_ASM_85!Y81</f>
        <v>833.84549437982139</v>
      </c>
      <c r="N15" s="7">
        <f>[5]Final_quantities_w_ASM_85!Z81</f>
        <v>865.36110422201466</v>
      </c>
      <c r="O15" s="7">
        <f>[5]Final_quantities_w_ASM_85!AA81</f>
        <v>884.64406029384702</v>
      </c>
      <c r="P15" s="7">
        <f>[5]Final_quantities_w_ASM_85!AB81</f>
        <v>872.26871686531888</v>
      </c>
      <c r="Q15" s="7">
        <f>[5]Final_quantities_w_ASM_85!AC81</f>
        <v>839.7971593673326</v>
      </c>
      <c r="R15" s="7">
        <f>[5]Final_quantities_w_ASM_85!AD81</f>
        <v>788.81428212035564</v>
      </c>
      <c r="S15" s="7">
        <f>[5]Final_quantities_w_ASM_85!AE81</f>
        <v>834.39754001449035</v>
      </c>
      <c r="T15" s="7">
        <f>[5]Final_quantities_w_ASM_85!AF81</f>
        <v>866.94246720947706</v>
      </c>
      <c r="U15" s="7">
        <f>[5]Final_quantities_w_ASM_85!AG81</f>
        <v>822.05619657793363</v>
      </c>
      <c r="V15" s="7">
        <f>[5]Final_quantities_w_ASM_85!AH81</f>
        <v>836.11227176215516</v>
      </c>
      <c r="W15" s="7">
        <f>[5]Final_quantities_w_ASM_85!AI81</f>
        <v>768.10728353723539</v>
      </c>
      <c r="X15" s="7">
        <f>[5]Final_quantities_w_ASM_85!AJ81</f>
        <v>780.74119599920289</v>
      </c>
      <c r="Y15" s="7">
        <f>[5]Final_quantities_w_ASM_85!AK81</f>
        <v>833.93765903307883</v>
      </c>
      <c r="Z15" s="7">
        <f>[5]Final_quantities_w_ASM_85!AL81</f>
        <v>886.7107833552401</v>
      </c>
      <c r="AA15" s="7">
        <f>[5]Final_quantities_w_ASM_85!AM81</f>
        <v>859.3526134846436</v>
      </c>
      <c r="AB15" s="7">
        <f>[5]Final_quantities_w_ASM_85!AN81</f>
        <v>843.70651459135343</v>
      </c>
      <c r="AC15" s="7">
        <f>[5]Final_quantities_w_ASM_85!AO81</f>
        <v>909.88766788766793</v>
      </c>
      <c r="AD15" s="7">
        <f>[5]Final_quantities_w_ASM_85!AP81</f>
        <v>842.74655037055288</v>
      </c>
      <c r="AE15" s="7">
        <f>[5]Final_quantities_w_ASM_85!AQ81</f>
        <v>845.33856815926742</v>
      </c>
      <c r="AF15" s="7">
        <f>[5]Final_quantities_w_ASM_85!AR81</f>
        <v>886.06247755491495</v>
      </c>
      <c r="AG15" s="7">
        <f>[5]Final_quantities_w_ASM_85!AS81</f>
        <v>956.99685863874322</v>
      </c>
      <c r="AH15" s="7">
        <f>[5]Final_quantities_w_ASM_85!AT81</f>
        <v>887.6387887179709</v>
      </c>
      <c r="AI15" s="7">
        <f>[5]Final_quantities_w_ASM_85!AU81</f>
        <v>743.93203544139271</v>
      </c>
      <c r="AJ15" s="7">
        <f>[5]Final_quantities_w_ASM_85!AV81</f>
        <v>645.8870061967317</v>
      </c>
      <c r="AK15" s="7">
        <f>[5]Final_quantities_w_ASM_85!AW81</f>
        <v>599.99999999999989</v>
      </c>
      <c r="AL15" s="7">
        <f>[5]Final_quantities_w_ASM_85!AX81</f>
        <v>611.97402153526446</v>
      </c>
      <c r="AM15" s="7">
        <f>[5]Final_quantities_w_ASM_85!AY81</f>
        <v>624.17586229193319</v>
      </c>
      <c r="AN15" s="7">
        <f>[5]Final_quantities_w_ASM_85!AZ81</f>
        <v>679.85089785741911</v>
      </c>
      <c r="AO15" s="7">
        <f>[5]Final_quantities_w_ASM_85!BA81</f>
        <v>699.20028653295151</v>
      </c>
      <c r="AP15" s="7">
        <f>[5]Final_quantities_w_ASM_85!BB81</f>
        <v>721.75199215730015</v>
      </c>
      <c r="AQ15" s="7">
        <f>[5]Final_quantities_w_ASM_85!BC81</f>
        <v>778.13657094476309</v>
      </c>
      <c r="AR15" s="7">
        <f>[5]Final_quantities_w_ASM_85!BD81</f>
        <v>714.28138535951166</v>
      </c>
      <c r="AT15" s="7">
        <f t="shared" si="2"/>
        <v>600</v>
      </c>
    </row>
    <row r="16" spans="2:46" x14ac:dyDescent="0.2">
      <c r="F16" t="s">
        <v>112</v>
      </c>
      <c r="G16" s="7">
        <f>'ASM_Fuel_Cost_1985-88'!E201</f>
        <v>4339.9602459174175</v>
      </c>
      <c r="H16" s="7">
        <f>'ASM_Fuel_Cost_1985-88'!F201</f>
        <v>3336.1303610854025</v>
      </c>
      <c r="I16" s="7">
        <f>'ASM_Fuel_Cost_1985-88'!G201</f>
        <v>2887.3118056325779</v>
      </c>
      <c r="J16" s="7">
        <f>'ASM_Fuel_Cost_1985-88'!H201</f>
        <v>3116.8741104477103</v>
      </c>
      <c r="L16" s="7">
        <f>[5]Final_quantities_w_ASM_85!X82</f>
        <v>1931.5726855408923</v>
      </c>
      <c r="M16" s="7">
        <f>[5]Final_quantities_w_ASM_85!Y82</f>
        <v>1819.4681276410374</v>
      </c>
      <c r="N16" s="7">
        <f>[5]Final_quantities_w_ASM_85!Z82</f>
        <v>1819.8952963174183</v>
      </c>
      <c r="O16" s="7">
        <f>[5]Final_quantities_w_ASM_85!AA82</f>
        <v>2134.8918237453672</v>
      </c>
      <c r="P16" s="7">
        <f>[5]Final_quantities_w_ASM_85!AB82</f>
        <v>2135.9489196898726</v>
      </c>
      <c r="Q16" s="7">
        <f>[5]Final_quantities_w_ASM_85!AC82</f>
        <v>2058.9100560357515</v>
      </c>
      <c r="R16" s="7">
        <f>[5]Final_quantities_w_ASM_85!AD82</f>
        <v>1811.54797443144</v>
      </c>
      <c r="S16" s="7">
        <f>[5]Final_quantities_w_ASM_85!AE82</f>
        <v>1860.7007555363432</v>
      </c>
      <c r="T16" s="7">
        <f>[5]Final_quantities_w_ASM_85!AF82</f>
        <v>1980.5512991134312</v>
      </c>
      <c r="U16" s="7">
        <f>[5]Final_quantities_w_ASM_85!AG82</f>
        <v>2096.657607556745</v>
      </c>
      <c r="V16" s="7">
        <f>[5]Final_quantities_w_ASM_85!AH82</f>
        <v>2017.8963663976333</v>
      </c>
      <c r="W16" s="7">
        <f>[5]Final_quantities_w_ASM_85!AI82</f>
        <v>2086.8428688014678</v>
      </c>
      <c r="X16" s="7">
        <f>[5]Final_quantities_w_ASM_85!AJ82</f>
        <v>2031.1105024045194</v>
      </c>
      <c r="Y16" s="7">
        <f>[5]Final_quantities_w_ASM_85!AK82</f>
        <v>2029.6012396694211</v>
      </c>
      <c r="Z16" s="7">
        <f>[5]Final_quantities_w_ASM_85!AL82</f>
        <v>1926.6568413872603</v>
      </c>
      <c r="AA16" s="7">
        <f>[5]Final_quantities_w_ASM_85!AM82</f>
        <v>1983.8740286264185</v>
      </c>
      <c r="AB16" s="7">
        <f>[5]Final_quantities_w_ASM_85!AN82</f>
        <v>1880.6675868844177</v>
      </c>
      <c r="AC16" s="7">
        <f>[5]Final_quantities_w_ASM_85!AO82</f>
        <v>1630.0000000000002</v>
      </c>
      <c r="AD16" s="7">
        <f>[5]Final_quantities_w_ASM_85!AP82</f>
        <v>1682.0860478593922</v>
      </c>
      <c r="AE16" s="7">
        <f>[5]Final_quantities_w_ASM_85!AQ82</f>
        <v>1709.9215480543246</v>
      </c>
      <c r="AF16" s="7">
        <f>[5]Final_quantities_w_ASM_85!AR82</f>
        <v>1414.9968829642635</v>
      </c>
      <c r="AG16" s="7">
        <f>[5]Final_quantities_w_ASM_85!AS82</f>
        <v>1286</v>
      </c>
      <c r="AH16" s="7">
        <f>[5]Final_quantities_w_ASM_85!AT82</f>
        <v>1399.5054856333845</v>
      </c>
      <c r="AI16" s="7">
        <f>[5]Final_quantities_w_ASM_85!AU82</f>
        <v>1368.6671058672234</v>
      </c>
      <c r="AJ16" s="7">
        <f>[5]Final_quantities_w_ASM_85!AV82</f>
        <v>962.31445699556264</v>
      </c>
      <c r="AK16" s="7">
        <f>[5]Final_quantities_w_ASM_85!AW82</f>
        <v>1257.3711790393013</v>
      </c>
      <c r="AL16" s="7">
        <f>[5]Final_quantities_w_ASM_85!AX82</f>
        <v>1261.8126408155631</v>
      </c>
      <c r="AM16" s="7">
        <f>[5]Final_quantities_w_ASM_85!AY82</f>
        <v>1099.4664079083741</v>
      </c>
      <c r="AN16" s="7">
        <f>[5]Final_quantities_w_ASM_85!AZ82</f>
        <v>1200.271524174148</v>
      </c>
      <c r="AO16" s="7">
        <f>[5]Final_quantities_w_ASM_85!BA82</f>
        <v>1250.3215835140998</v>
      </c>
      <c r="AP16" s="7">
        <f>[5]Final_quantities_w_ASM_85!BB82</f>
        <v>1036.9563686060915</v>
      </c>
      <c r="AQ16" s="7">
        <f>[5]Final_quantities_w_ASM_85!BC82</f>
        <v>971.15086184225311</v>
      </c>
      <c r="AR16" s="7">
        <f>[5]Final_quantities_w_ASM_85!BD82</f>
        <v>984.4574637091971</v>
      </c>
      <c r="AT16" s="7">
        <f t="shared" si="2"/>
        <v>1255</v>
      </c>
    </row>
    <row r="17" spans="6:61" x14ac:dyDescent="0.2">
      <c r="F17" t="s">
        <v>113</v>
      </c>
      <c r="G17" s="7">
        <f>'ASM_Fuel_Cost_1985-88'!E202</f>
        <v>1124.3502443921664</v>
      </c>
      <c r="H17" s="7">
        <f>'ASM_Fuel_Cost_1985-88'!F202</f>
        <v>995.82878054874004</v>
      </c>
      <c r="I17" s="7">
        <f>'ASM_Fuel_Cost_1985-88'!G202</f>
        <v>957.40108597662811</v>
      </c>
      <c r="J17" s="7">
        <f>'ASM_Fuel_Cost_1985-88'!H202</f>
        <v>993.52102639808663</v>
      </c>
      <c r="L17" s="7">
        <f>[5]Final_quantities_w_ASM_85!X83</f>
        <v>218.62208510033273</v>
      </c>
      <c r="M17" s="7">
        <f>[5]Final_quantities_w_ASM_85!Y83</f>
        <v>236.43141790334093</v>
      </c>
      <c r="N17" s="7">
        <f>[5]Final_quantities_w_ASM_85!Z83</f>
        <v>242.60813301921723</v>
      </c>
      <c r="O17" s="7">
        <f>[5]Final_quantities_w_ASM_85!AA83</f>
        <v>251.14969713900288</v>
      </c>
      <c r="P17" s="7">
        <f>[5]Final_quantities_w_ASM_85!AB83</f>
        <v>241.61252681571099</v>
      </c>
      <c r="Q17" s="7">
        <f>[5]Final_quantities_w_ASM_85!AC83</f>
        <v>222.61909858361435</v>
      </c>
      <c r="R17" s="7">
        <f>[5]Final_quantities_w_ASM_85!AD83</f>
        <v>217.28105279356296</v>
      </c>
      <c r="S17" s="7">
        <f>[5]Final_quantities_w_ASM_85!AE83</f>
        <v>221.51344199750795</v>
      </c>
      <c r="T17" s="7">
        <f>[5]Final_quantities_w_ASM_85!AF83</f>
        <v>238.70978614279534</v>
      </c>
      <c r="U17" s="7">
        <f>[5]Final_quantities_w_ASM_85!AG83</f>
        <v>263.57968281835366</v>
      </c>
      <c r="V17" s="7">
        <f>[5]Final_quantities_w_ASM_85!AH83</f>
        <v>289.54537765874414</v>
      </c>
      <c r="W17" s="7">
        <f>[5]Final_quantities_w_ASM_85!AI83</f>
        <v>248.1538234807891</v>
      </c>
      <c r="X17" s="7">
        <f>[5]Final_quantities_w_ASM_85!AJ83</f>
        <v>234.49178399761871</v>
      </c>
      <c r="Y17" s="7">
        <f>[5]Final_quantities_w_ASM_85!AK83</f>
        <v>265</v>
      </c>
      <c r="Z17" s="7">
        <f>[5]Final_quantities_w_ASM_85!AL83</f>
        <v>288.72321776563751</v>
      </c>
      <c r="AA17" s="7">
        <f>[5]Final_quantities_w_ASM_85!AM83</f>
        <v>253.4229417852948</v>
      </c>
      <c r="AB17" s="7">
        <f>[5]Final_quantities_w_ASM_85!AN83</f>
        <v>237.32132497797627</v>
      </c>
      <c r="AC17" s="7">
        <f>[5]Final_quantities_w_ASM_85!AO83</f>
        <v>226.99999999999997</v>
      </c>
      <c r="AD17" s="7">
        <f>[5]Final_quantities_w_ASM_85!AP83</f>
        <v>211.11024656090805</v>
      </c>
      <c r="AE17" s="7">
        <f>[5]Final_quantities_w_ASM_85!AQ83</f>
        <v>205.77241053022451</v>
      </c>
      <c r="AF17" s="7">
        <f>[5]Final_quantities_w_ASM_85!AR83</f>
        <v>209.24595335402162</v>
      </c>
      <c r="AG17" s="7">
        <f>[5]Final_quantities_w_ASM_85!AS83</f>
        <v>252.50000000000006</v>
      </c>
      <c r="AH17" s="7">
        <f>[5]Final_quantities_w_ASM_85!AT83</f>
        <v>234.82468349562203</v>
      </c>
      <c r="AI17" s="7">
        <f>[5]Final_quantities_w_ASM_85!AU83</f>
        <v>185.16705471774353</v>
      </c>
      <c r="AJ17" s="7">
        <f>[5]Final_quantities_w_ASM_85!AV83</f>
        <v>190.70310383289089</v>
      </c>
      <c r="AK17" s="7">
        <f>[5]Final_quantities_w_ASM_85!AW83</f>
        <v>172.2</v>
      </c>
      <c r="AL17" s="7">
        <f>[5]Final_quantities_w_ASM_85!AX83</f>
        <v>187.75934257065543</v>
      </c>
      <c r="AM17" s="7">
        <f>[5]Final_quantities_w_ASM_85!AY83</f>
        <v>193.79664486655756</v>
      </c>
      <c r="AN17" s="7">
        <f>[5]Final_quantities_w_ASM_85!AZ83</f>
        <v>198.15797960395327</v>
      </c>
      <c r="AO17" s="7">
        <f>[5]Final_quantities_w_ASM_85!BA83</f>
        <v>202.70195961234685</v>
      </c>
      <c r="AP17" s="7">
        <f>[5]Final_quantities_w_ASM_85!BB83</f>
        <v>245.23815370610694</v>
      </c>
      <c r="AQ17" s="7">
        <f>[5]Final_quantities_w_ASM_85!BC83</f>
        <v>265.82208533809984</v>
      </c>
      <c r="AR17" s="7">
        <f>[5]Final_quantities_w_ASM_85!BD83</f>
        <v>247.04596515408545</v>
      </c>
      <c r="AT17" s="7">
        <f t="shared" si="2"/>
        <v>174</v>
      </c>
    </row>
    <row r="18" spans="6:61" x14ac:dyDescent="0.2">
      <c r="F18" t="s">
        <v>114</v>
      </c>
      <c r="G18" s="7">
        <f>'ASM_Fuel_Cost_1985-88'!E203</f>
        <v>613.5172965475607</v>
      </c>
      <c r="H18" s="7">
        <f>'ASM_Fuel_Cost_1985-88'!F203</f>
        <v>538.09507256146662</v>
      </c>
      <c r="I18" s="7">
        <f>'ASM_Fuel_Cost_1985-88'!G203</f>
        <v>477.49102736513851</v>
      </c>
      <c r="J18" s="7">
        <f>'ASM_Fuel_Cost_1985-88'!H203</f>
        <v>476.87449476454827</v>
      </c>
      <c r="L18" s="7">
        <f>[5]Final_quantities_w_ASM_85!X84</f>
        <v>118.55685257512636</v>
      </c>
      <c r="M18" s="7">
        <f>[5]Final_quantities_w_ASM_85!Y84</f>
        <v>131.76262360948817</v>
      </c>
      <c r="N18" s="7">
        <f>[5]Final_quantities_w_ASM_85!Z84</f>
        <v>133.59407668064966</v>
      </c>
      <c r="O18" s="7">
        <f>[5]Final_quantities_w_ASM_85!AA84</f>
        <v>138.88393804304263</v>
      </c>
      <c r="P18" s="7">
        <f>[5]Final_quantities_w_ASM_85!AB84</f>
        <v>135.84765730352257</v>
      </c>
      <c r="Q18" s="7">
        <f>[5]Final_quantities_w_ASM_85!AC84</f>
        <v>120.63206911012374</v>
      </c>
      <c r="R18" s="7">
        <f>[5]Final_quantities_w_ASM_85!AD84</f>
        <v>113.47965946591773</v>
      </c>
      <c r="S18" s="7">
        <f>[5]Final_quantities_w_ASM_85!AE84</f>
        <v>107.05467343210732</v>
      </c>
      <c r="T18" s="7">
        <f>[5]Final_quantities_w_ASM_85!AF84</f>
        <v>108.06755733724918</v>
      </c>
      <c r="U18" s="7">
        <f>[5]Final_quantities_w_ASM_85!AG84</f>
        <v>112.9223451148237</v>
      </c>
      <c r="V18" s="7">
        <f>[5]Final_quantities_w_ASM_85!AH84</f>
        <v>126.59319042449401</v>
      </c>
      <c r="W18" s="7">
        <f>[5]Final_quantities_w_ASM_85!AI84</f>
        <v>112.18887774850286</v>
      </c>
      <c r="X18" s="7">
        <f>[5]Final_quantities_w_ASM_85!AJ84</f>
        <v>105.84652662112609</v>
      </c>
      <c r="Y18" s="7">
        <f>[5]Final_quantities_w_ASM_85!AK84</f>
        <v>116</v>
      </c>
      <c r="Z18" s="7">
        <f>[5]Final_quantities_w_ASM_85!AL84</f>
        <v>122.79275034041129</v>
      </c>
      <c r="AA18" s="7">
        <f>[5]Final_quantities_w_ASM_85!AM84</f>
        <v>105.34391771081434</v>
      </c>
      <c r="AB18" s="7">
        <f>[5]Final_quantities_w_ASM_85!AN84</f>
        <v>100.39573657761649</v>
      </c>
      <c r="AC18" s="7">
        <f>[5]Final_quantities_w_ASM_85!AO84</f>
        <v>91.100000000000009</v>
      </c>
      <c r="AD18" s="7">
        <f>[5]Final_quantities_w_ASM_85!AP84</f>
        <v>81.25188303013428</v>
      </c>
      <c r="AE18" s="7">
        <f>[5]Final_quantities_w_ASM_85!AQ84</f>
        <v>88.021783603069295</v>
      </c>
      <c r="AF18" s="7">
        <f>[5]Final_quantities_w_ASM_85!AR84</f>
        <v>93.105905726043318</v>
      </c>
      <c r="AG18" s="7">
        <f>[5]Final_quantities_w_ASM_85!AS84</f>
        <v>111.98042366691017</v>
      </c>
      <c r="AH18" s="7">
        <f>[5]Final_quantities_w_ASM_85!AT84</f>
        <v>115.5315141440576</v>
      </c>
      <c r="AI18" s="7">
        <f>[5]Final_quantities_w_ASM_85!AU84</f>
        <v>86.950620858119606</v>
      </c>
      <c r="AJ18" s="7">
        <f>[5]Final_quantities_w_ASM_85!AV84</f>
        <v>92.064771860677837</v>
      </c>
      <c r="AK18" s="7">
        <f>[5]Final_quantities_w_ASM_85!AW84</f>
        <v>77.100000000000009</v>
      </c>
      <c r="AL18" s="7">
        <f>[5]Final_quantities_w_ASM_85!AX84</f>
        <v>87.599211822594796</v>
      </c>
      <c r="AM18" s="7">
        <f>[5]Final_quantities_w_ASM_85!AY84</f>
        <v>83.725919295910614</v>
      </c>
      <c r="AN18" s="7">
        <f>[5]Final_quantities_w_ASM_85!AZ84</f>
        <v>86.29949010208729</v>
      </c>
      <c r="AO18" s="7">
        <f>[5]Final_quantities_w_ASM_85!BA84</f>
        <v>85.772239102489166</v>
      </c>
      <c r="AP18" s="7">
        <f>[5]Final_quantities_w_ASM_85!BB84</f>
        <v>93.13436520748084</v>
      </c>
      <c r="AQ18" s="7">
        <f>[5]Final_quantities_w_ASM_85!BC84</f>
        <v>97.563518564790854</v>
      </c>
      <c r="AR18" s="7">
        <f>[5]Final_quantities_w_ASM_85!BD84</f>
        <v>95.866532116149529</v>
      </c>
      <c r="AT18" s="7">
        <f t="shared" si="2"/>
        <v>78</v>
      </c>
    </row>
    <row r="19" spans="6:61" x14ac:dyDescent="0.2">
      <c r="F19" t="s">
        <v>115</v>
      </c>
      <c r="G19" s="7">
        <f>'ASM_Fuel_Cost_1985-88'!E204</f>
        <v>291.98100673447351</v>
      </c>
      <c r="H19" s="7">
        <f>'ASM_Fuel_Cost_1985-88'!F204</f>
        <v>250.35862224355006</v>
      </c>
      <c r="I19" s="7">
        <f>'ASM_Fuel_Cost_1985-88'!G204</f>
        <v>242.48488052117449</v>
      </c>
      <c r="J19" s="7">
        <f>'ASM_Fuel_Cost_1985-88'!H204</f>
        <v>240.59903893410413</v>
      </c>
      <c r="L19" s="7">
        <f>[5]Final_quantities_w_ASM_85!X85</f>
        <v>54.789455724294974</v>
      </c>
      <c r="M19" s="7">
        <f>[5]Final_quantities_w_ASM_85!Y85</f>
        <v>56.773381394787826</v>
      </c>
      <c r="N19" s="7">
        <f>[5]Final_quantities_w_ASM_85!Z85</f>
        <v>60.4000354790195</v>
      </c>
      <c r="O19" s="7">
        <f>[5]Final_quantities_w_ASM_85!AA85</f>
        <v>62.693189717341831</v>
      </c>
      <c r="P19" s="7">
        <f>[5]Final_quantities_w_ASM_85!AB85</f>
        <v>62.697248115282306</v>
      </c>
      <c r="Q19" s="7">
        <f>[5]Final_quantities_w_ASM_85!AC85</f>
        <v>58.16599961257208</v>
      </c>
      <c r="R19" s="7">
        <f>[5]Final_quantities_w_ASM_85!AD85</f>
        <v>56.220714404637974</v>
      </c>
      <c r="S19" s="7">
        <f>[5]Final_quantities_w_ASM_85!AE85</f>
        <v>60.223081775639166</v>
      </c>
      <c r="T19" s="7">
        <f>[5]Final_quantities_w_ASM_85!AF85</f>
        <v>64.59076180040033</v>
      </c>
      <c r="U19" s="7">
        <f>[5]Final_quantities_w_ASM_85!AG85</f>
        <v>66.930484972733723</v>
      </c>
      <c r="V19" s="7">
        <f>[5]Final_quantities_w_ASM_85!AH85</f>
        <v>74.175881307460315</v>
      </c>
      <c r="W19" s="7">
        <f>[5]Final_quantities_w_ASM_85!AI85</f>
        <v>74.285745760995297</v>
      </c>
      <c r="X19" s="7">
        <f>[5]Final_quantities_w_ASM_85!AJ85</f>
        <v>68.66474800356508</v>
      </c>
      <c r="Y19" s="7">
        <f>[5]Final_quantities_w_ASM_85!AK85</f>
        <v>71.996704639520701</v>
      </c>
      <c r="Z19" s="7">
        <f>[5]Final_quantities_w_ASM_85!AL85</f>
        <v>78.436968233114072</v>
      </c>
      <c r="AA19" s="7">
        <f>[5]Final_quantities_w_ASM_85!AM85</f>
        <v>79.0089258545039</v>
      </c>
      <c r="AB19" s="7">
        <f>[5]Final_quantities_w_ASM_85!AN85</f>
        <v>65.176657319008271</v>
      </c>
      <c r="AC19" s="7">
        <f>[5]Final_quantities_w_ASM_85!AO85</f>
        <v>67.526741649323512</v>
      </c>
      <c r="AD19" s="7">
        <f>[5]Final_quantities_w_ASM_85!AP85</f>
        <v>50.991467340391509</v>
      </c>
      <c r="AE19" s="7">
        <f>[5]Final_quantities_w_ASM_85!AQ85</f>
        <v>42.043516369535972</v>
      </c>
      <c r="AF19" s="7">
        <f>[5]Final_quantities_w_ASM_85!AR85</f>
        <v>42.249324748796163</v>
      </c>
      <c r="AG19" s="7">
        <f>[5]Final_quantities_w_ASM_85!AS85</f>
        <v>47.199999999999996</v>
      </c>
      <c r="AH19" s="7">
        <f>[5]Final_quantities_w_ASM_85!AT85</f>
        <v>59.214906398381331</v>
      </c>
      <c r="AI19" s="7">
        <f>[5]Final_quantities_w_ASM_85!AU85</f>
        <v>43.492222822324287</v>
      </c>
      <c r="AJ19" s="7">
        <f>[5]Final_quantities_w_ASM_85!AV85</f>
        <v>42.995018877669239</v>
      </c>
      <c r="AK19" s="7">
        <f>[5]Final_quantities_w_ASM_85!AW85</f>
        <v>42.5</v>
      </c>
      <c r="AL19" s="7">
        <f>[5]Final_quantities_w_ASM_85!AX85</f>
        <v>49.061670269443589</v>
      </c>
      <c r="AM19" s="7">
        <f>[5]Final_quantities_w_ASM_85!AY85</f>
        <v>52.833399251986492</v>
      </c>
      <c r="AN19" s="7">
        <f>[5]Final_quantities_w_ASM_85!AZ85</f>
        <v>50.424150632155047</v>
      </c>
      <c r="AO19" s="7">
        <f>[5]Final_quantities_w_ASM_85!BA85</f>
        <v>50.927243531067091</v>
      </c>
      <c r="AP19" s="7">
        <f>[5]Final_quantities_w_ASM_85!BB85</f>
        <v>68.644100641470075</v>
      </c>
      <c r="AQ19" s="7">
        <f>[5]Final_quantities_w_ASM_85!BC85</f>
        <v>79.597709611232062</v>
      </c>
      <c r="AR19" s="7">
        <f>[5]Final_quantities_w_ASM_85!BD85</f>
        <v>117.13946456518325</v>
      </c>
      <c r="AT19" s="7">
        <f t="shared" si="2"/>
        <v>43</v>
      </c>
    </row>
    <row r="20" spans="6:61" x14ac:dyDescent="0.2">
      <c r="F20" t="s">
        <v>116</v>
      </c>
      <c r="G20" s="7">
        <f>'ASM_Fuel_Cost_1985-88'!E205</f>
        <v>366.8042797694564</v>
      </c>
      <c r="H20" s="7">
        <f>'ASM_Fuel_Cost_1985-88'!F205</f>
        <v>313.25000485525999</v>
      </c>
      <c r="I20" s="7">
        <f>'ASM_Fuel_Cost_1985-88'!G205</f>
        <v>259.54884321598377</v>
      </c>
      <c r="J20" s="7">
        <f>'ASM_Fuel_Cost_1985-88'!H205</f>
        <v>235.64381002161588</v>
      </c>
      <c r="L20" s="7">
        <f>[5]Final_quantities_w_ASM_85!X86</f>
        <v>62.919467623803953</v>
      </c>
      <c r="M20" s="7">
        <f>[5]Final_quantities_w_ASM_85!Y86</f>
        <v>69.916919680982033</v>
      </c>
      <c r="N20" s="7">
        <f>[5]Final_quantities_w_ASM_85!Z86</f>
        <v>67.361584373291663</v>
      </c>
      <c r="O20" s="7">
        <f>[5]Final_quantities_w_ASM_85!AA86</f>
        <v>64.557174352037165</v>
      </c>
      <c r="P20" s="7">
        <f>[5]Final_quantities_w_ASM_85!AB86</f>
        <v>64.994227835018435</v>
      </c>
      <c r="Q20" s="7">
        <f>[5]Final_quantities_w_ASM_85!AC86</f>
        <v>57.975944538459906</v>
      </c>
      <c r="R20" s="7">
        <f>[5]Final_quantities_w_ASM_85!AD86</f>
        <v>55.611292613491045</v>
      </c>
      <c r="S20" s="7">
        <f>[5]Final_quantities_w_ASM_85!AE86</f>
        <v>57.234985489425256</v>
      </c>
      <c r="T20" s="7">
        <f>[5]Final_quantities_w_ASM_85!AF86</f>
        <v>62.688490345889321</v>
      </c>
      <c r="U20" s="7">
        <f>[5]Final_quantities_w_ASM_85!AG86</f>
        <v>67.848599515192888</v>
      </c>
      <c r="V20" s="7">
        <f>[5]Final_quantities_w_ASM_85!AH86</f>
        <v>77.714029378698712</v>
      </c>
      <c r="W20" s="7">
        <f>[5]Final_quantities_w_ASM_85!AI86</f>
        <v>67.205931433059533</v>
      </c>
      <c r="X20" s="7">
        <f>[5]Final_quantities_w_ASM_85!AJ86</f>
        <v>58.506483316550749</v>
      </c>
      <c r="Y20" s="7">
        <f>[5]Final_quantities_w_ASM_85!AK86</f>
        <v>60.186666666666667</v>
      </c>
      <c r="Z20" s="7">
        <f>[5]Final_quantities_w_ASM_85!AL86</f>
        <v>66.685239456493804</v>
      </c>
      <c r="AA20" s="7">
        <f>[5]Final_quantities_w_ASM_85!AM86</f>
        <v>61.236781754249328</v>
      </c>
      <c r="AB20" s="7">
        <f>[5]Final_quantities_w_ASM_85!AN86</f>
        <v>57.961969433234934</v>
      </c>
      <c r="AC20" s="7">
        <f>[5]Final_quantities_w_ASM_85!AO86</f>
        <v>56.822485472888694</v>
      </c>
      <c r="AD20" s="7">
        <f>[5]Final_quantities_w_ASM_85!AP86</f>
        <v>47.012940655948256</v>
      </c>
      <c r="AE20" s="7">
        <f>[5]Final_quantities_w_ASM_85!AQ86</f>
        <v>41.189407822062329</v>
      </c>
      <c r="AF20" s="7">
        <f>[5]Final_quantities_w_ASM_85!AR86</f>
        <v>40.074406559493973</v>
      </c>
      <c r="AG20" s="7">
        <f>[5]Final_quantities_w_ASM_85!AS86</f>
        <v>43.3</v>
      </c>
      <c r="AH20" s="7">
        <f>[5]Final_quantities_w_ASM_85!AT86</f>
        <v>46.108924435053645</v>
      </c>
      <c r="AI20" s="7">
        <f>[5]Final_quantities_w_ASM_85!AU86</f>
        <v>37.438639089986992</v>
      </c>
      <c r="AJ20" s="7">
        <f>[5]Final_quantities_w_ASM_85!AV86</f>
        <v>36.445393847190239</v>
      </c>
      <c r="AK20" s="7">
        <f>[5]Final_quantities_w_ASM_85!AW86</f>
        <v>38.426960652584384</v>
      </c>
      <c r="AL20" s="7">
        <f>[5]Final_quantities_w_ASM_85!AX86</f>
        <v>37.932404897644204</v>
      </c>
      <c r="AM20" s="7">
        <f>[5]Final_quantities_w_ASM_85!AY86</f>
        <v>33.525133577763363</v>
      </c>
      <c r="AN20" s="7">
        <f>[5]Final_quantities_w_ASM_85!AZ86</f>
        <v>28.676156874828184</v>
      </c>
      <c r="AO20" s="7">
        <f>[5]Final_quantities_w_ASM_85!BA86</f>
        <v>31.412996929859087</v>
      </c>
      <c r="AP20" s="7">
        <f>[5]Final_quantities_w_ASM_85!BB86</f>
        <v>37.105053824982626</v>
      </c>
      <c r="AQ20" s="7">
        <f>[5]Final_quantities_w_ASM_85!BC86</f>
        <v>41.044231164585291</v>
      </c>
      <c r="AR20" s="7">
        <f>[5]Final_quantities_w_ASM_85!BD86</f>
        <v>38.271289963120836</v>
      </c>
      <c r="AT20" s="7">
        <f t="shared" si="2"/>
        <v>38</v>
      </c>
    </row>
    <row r="21" spans="6:61" x14ac:dyDescent="0.2">
      <c r="F21" t="s">
        <v>117</v>
      </c>
      <c r="G21" s="7">
        <f>'ASM_Fuel_Cost_1985-88'!E206</f>
        <v>1048.1176591429162</v>
      </c>
      <c r="H21" s="7">
        <f>'ASM_Fuel_Cost_1985-88'!F206</f>
        <v>901.08117540303283</v>
      </c>
      <c r="I21" s="7">
        <f>'ASM_Fuel_Cost_1985-88'!G206</f>
        <v>833.33238468453624</v>
      </c>
      <c r="J21" s="7">
        <f>'ASM_Fuel_Cost_1985-88'!H206</f>
        <v>865.96679427310994</v>
      </c>
      <c r="L21" s="7">
        <f>[5]Final_quantities_w_ASM_85!X87</f>
        <v>234.98001273849104</v>
      </c>
      <c r="M21" s="7">
        <f>[5]Final_quantities_w_ASM_85!Y87</f>
        <v>244.14932796917606</v>
      </c>
      <c r="N21" s="7">
        <f>[5]Final_quantities_w_ASM_85!Z87</f>
        <v>242.3809965577758</v>
      </c>
      <c r="O21" s="7">
        <f>[5]Final_quantities_w_ASM_85!AA87</f>
        <v>254.7805034960077</v>
      </c>
      <c r="P21" s="7">
        <f>[5]Final_quantities_w_ASM_85!AB87</f>
        <v>251.14742131079427</v>
      </c>
      <c r="Q21" s="7">
        <f>[5]Final_quantities_w_ASM_85!AC87</f>
        <v>237.32816845389931</v>
      </c>
      <c r="R21" s="7">
        <f>[5]Final_quantities_w_ASM_85!AD87</f>
        <v>244.13057132985355</v>
      </c>
      <c r="S21" s="7">
        <f>[5]Final_quantities_w_ASM_85!AE87</f>
        <v>253.07663671240181</v>
      </c>
      <c r="T21" s="7">
        <f>[5]Final_quantities_w_ASM_85!AF87</f>
        <v>281.57130919761488</v>
      </c>
      <c r="U21" s="7">
        <f>[5]Final_quantities_w_ASM_85!AG87</f>
        <v>260.23443301298028</v>
      </c>
      <c r="V21" s="7">
        <f>[5]Final_quantities_w_ASM_85!AH87</f>
        <v>279.13409774957131</v>
      </c>
      <c r="W21" s="7">
        <f>[5]Final_quantities_w_ASM_85!AI87</f>
        <v>261.48864651631305</v>
      </c>
      <c r="X21" s="7">
        <f>[5]Final_quantities_w_ASM_85!AJ87</f>
        <v>260.11255594462961</v>
      </c>
      <c r="Y21" s="7">
        <f>[5]Final_quantities_w_ASM_85!AK87</f>
        <v>295.51227072565138</v>
      </c>
      <c r="Z21" s="7">
        <f>[5]Final_quantities_w_ASM_85!AL87</f>
        <v>279.24564271303535</v>
      </c>
      <c r="AA21" s="7">
        <f>[5]Final_quantities_w_ASM_85!AM87</f>
        <v>249.1591384339321</v>
      </c>
      <c r="AB21" s="7">
        <f>[5]Final_quantities_w_ASM_85!AN87</f>
        <v>259.61326688970513</v>
      </c>
      <c r="AC21" s="7">
        <f>[5]Final_quantities_w_ASM_85!AO87</f>
        <v>254.02409638554218</v>
      </c>
      <c r="AD21" s="7">
        <f>[5]Final_quantities_w_ASM_85!AP87</f>
        <v>231.54622671263775</v>
      </c>
      <c r="AE21" s="7">
        <f>[5]Final_quantities_w_ASM_85!AQ87</f>
        <v>242.76915385499231</v>
      </c>
      <c r="AF21" s="7">
        <f>[5]Final_quantities_w_ASM_85!AR87</f>
        <v>235.86146778340915</v>
      </c>
      <c r="AG21" s="7">
        <f>[5]Final_quantities_w_ASM_85!AS87</f>
        <v>283.90529049491738</v>
      </c>
      <c r="AH21" s="7">
        <f>[5]Final_quantities_w_ASM_85!AT87</f>
        <v>256.62451547667774</v>
      </c>
      <c r="AI21" s="7">
        <f>[5]Final_quantities_w_ASM_85!AU87</f>
        <v>179.18349815917156</v>
      </c>
      <c r="AJ21" s="7">
        <f>[5]Final_quantities_w_ASM_85!AV87</f>
        <v>174.42094694789859</v>
      </c>
      <c r="AK21" s="7">
        <f>[5]Final_quantities_w_ASM_85!AW87</f>
        <v>145.82124452728905</v>
      </c>
      <c r="AL21" s="7">
        <f>[5]Final_quantities_w_ASM_85!AX87</f>
        <v>154.1738017549234</v>
      </c>
      <c r="AM21" s="7">
        <f>[5]Final_quantities_w_ASM_85!AY87</f>
        <v>150.93352456358289</v>
      </c>
      <c r="AN21" s="7">
        <f>[5]Final_quantities_w_ASM_85!AZ87</f>
        <v>156.34109819224426</v>
      </c>
      <c r="AO21" s="7">
        <f>[5]Final_quantities_w_ASM_85!BA87</f>
        <v>168.32118960945652</v>
      </c>
      <c r="AP21" s="7">
        <f>[5]Final_quantities_w_ASM_85!BB87</f>
        <v>201.03244737999532</v>
      </c>
      <c r="AQ21" s="7">
        <f>[5]Final_quantities_w_ASM_85!BC87</f>
        <v>213.98873522848089</v>
      </c>
      <c r="AR21" s="7">
        <f>[5]Final_quantities_w_ASM_85!BD87</f>
        <v>184.55216376261234</v>
      </c>
      <c r="AT21" s="7">
        <f t="shared" si="2"/>
        <v>143</v>
      </c>
    </row>
    <row r="22" spans="6:61" x14ac:dyDescent="0.2">
      <c r="F22" t="s">
        <v>118</v>
      </c>
      <c r="G22" s="7">
        <f>'ASM_Fuel_Cost_1985-88'!E207</f>
        <v>165.99525640535066</v>
      </c>
      <c r="H22" s="7">
        <f>'ASM_Fuel_Cost_1985-88'!F207</f>
        <v>152.64443149339215</v>
      </c>
      <c r="I22" s="7">
        <f>'ASM_Fuel_Cost_1985-88'!G207</f>
        <v>154.31328460738698</v>
      </c>
      <c r="J22" s="7">
        <f>'ASM_Fuel_Cost_1985-88'!H207</f>
        <v>158.42978895524087</v>
      </c>
      <c r="L22" s="7">
        <f>[5]Final_quantities_w_ASM_85!X88</f>
        <v>37.383822846973821</v>
      </c>
      <c r="M22" s="7">
        <f>[5]Final_quantities_w_ASM_85!Y88</f>
        <v>42.985850897299549</v>
      </c>
      <c r="N22" s="7">
        <f>[5]Final_quantities_w_ASM_85!Z88</f>
        <v>46.939987356383917</v>
      </c>
      <c r="O22" s="7">
        <f>[5]Final_quantities_w_ASM_85!AA88</f>
        <v>48.640156995919369</v>
      </c>
      <c r="P22" s="7">
        <f>[5]Final_quantities_w_ASM_85!AB88</f>
        <v>54.790411286187279</v>
      </c>
      <c r="Q22" s="7">
        <f>[5]Final_quantities_w_ASM_85!AC88</f>
        <v>52.543324444208949</v>
      </c>
      <c r="R22" s="7">
        <f>[5]Final_quantities_w_ASM_85!AD88</f>
        <v>55.8843501953478</v>
      </c>
      <c r="S22" s="7">
        <f>[5]Final_quantities_w_ASM_85!AE88</f>
        <v>52.652898635297085</v>
      </c>
      <c r="T22" s="7">
        <f>[5]Final_quantities_w_ASM_85!AF88</f>
        <v>50.694628080839166</v>
      </c>
      <c r="U22" s="7">
        <f>[5]Final_quantities_w_ASM_85!AG88</f>
        <v>47.300771088826892</v>
      </c>
      <c r="V22" s="7">
        <f>[5]Final_quantities_w_ASM_85!AH88</f>
        <v>55.007325960421149</v>
      </c>
      <c r="W22" s="7">
        <f>[5]Final_quantities_w_ASM_85!AI88</f>
        <v>51.038345076826246</v>
      </c>
      <c r="X22" s="7">
        <f>[5]Final_quantities_w_ASM_85!AJ88</f>
        <v>51.667707951697523</v>
      </c>
      <c r="Y22" s="7">
        <f>[5]Final_quantities_w_ASM_85!AK88</f>
        <v>58.515555555555551</v>
      </c>
      <c r="Z22" s="7">
        <f>[5]Final_quantities_w_ASM_85!AL88</f>
        <v>60.370462631550687</v>
      </c>
      <c r="AA22" s="7">
        <f>[5]Final_quantities_w_ASM_85!AM88</f>
        <v>49.754170759698503</v>
      </c>
      <c r="AB22" s="7">
        <f>[5]Final_quantities_w_ASM_85!AN88</f>
        <v>42.469075891542232</v>
      </c>
      <c r="AC22" s="7">
        <f>[5]Final_quantities_w_ASM_85!AO88</f>
        <v>38.37096774193548</v>
      </c>
      <c r="AD22" s="7">
        <f>[5]Final_quantities_w_ASM_85!AP88</f>
        <v>29.147599941897912</v>
      </c>
      <c r="AE22" s="7">
        <f>[5]Final_quantities_w_ASM_85!AQ88</f>
        <v>28.323583271845202</v>
      </c>
      <c r="AF22" s="7">
        <f>[5]Final_quantities_w_ASM_85!AR88</f>
        <v>26.186817999116819</v>
      </c>
      <c r="AG22" s="7">
        <f>[5]Final_quantities_w_ASM_85!AS88</f>
        <v>28.584545454545452</v>
      </c>
      <c r="AH22" s="7">
        <f>[5]Final_quantities_w_ASM_85!AT88</f>
        <v>28.017833710221659</v>
      </c>
      <c r="AI22" s="7">
        <f>[5]Final_quantities_w_ASM_85!AU88</f>
        <v>22.254938298931453</v>
      </c>
      <c r="AJ22" s="7">
        <f>[5]Final_quantities_w_ASM_85!AV88</f>
        <v>22.814605032271295</v>
      </c>
      <c r="AK22" s="7">
        <f>[5]Final_quantities_w_ASM_85!AW88</f>
        <v>19.559999999999992</v>
      </c>
      <c r="AL22" s="7">
        <f>[5]Final_quantities_w_ASM_85!AX88</f>
        <v>19.703521838837396</v>
      </c>
      <c r="AM22" s="7">
        <f>[5]Final_quantities_w_ASM_85!AY88</f>
        <v>21.479931108496721</v>
      </c>
      <c r="AN22" s="7">
        <f>[5]Final_quantities_w_ASM_85!AZ88</f>
        <v>20.269595412722722</v>
      </c>
      <c r="AO22" s="7">
        <f>[5]Final_quantities_w_ASM_85!BA88</f>
        <v>20.694702246705127</v>
      </c>
      <c r="AP22" s="7">
        <f>[5]Final_quantities_w_ASM_85!BB88</f>
        <v>31.358124686700148</v>
      </c>
      <c r="AQ22" s="7">
        <f>[5]Final_quantities_w_ASM_85!BC88</f>
        <v>34.279602404968472</v>
      </c>
      <c r="AR22" s="7">
        <f>[5]Final_quantities_w_ASM_85!BD88</f>
        <v>29.948568075305872</v>
      </c>
      <c r="AT22" s="7">
        <f t="shared" si="2"/>
        <v>19</v>
      </c>
    </row>
    <row r="23" spans="6:61" x14ac:dyDescent="0.2">
      <c r="F23" t="s">
        <v>119</v>
      </c>
      <c r="G23" s="7">
        <f>'ASM_Fuel_Cost_1985-88'!E208</f>
        <v>174.74674335299875</v>
      </c>
      <c r="H23" s="7">
        <f>'ASM_Fuel_Cost_1985-88'!F208</f>
        <v>155.16329883457362</v>
      </c>
      <c r="I23" s="7">
        <f>'ASM_Fuel_Cost_1985-88'!G208</f>
        <v>165.10844409991387</v>
      </c>
      <c r="J23" s="7">
        <f>'ASM_Fuel_Cost_1985-88'!H208</f>
        <v>173.81121894200757</v>
      </c>
      <c r="L23" s="7">
        <f>[5]Final_quantities_w_ASM_85!X89</f>
        <v>33.863505680901575</v>
      </c>
      <c r="M23" s="7">
        <f>[5]Final_quantities_w_ASM_85!Y89</f>
        <v>39.628355216449521</v>
      </c>
      <c r="N23" s="7">
        <f>[5]Final_quantities_w_ASM_85!Z89</f>
        <v>43.311356676392826</v>
      </c>
      <c r="O23" s="7">
        <f>[5]Final_quantities_w_ASM_85!AA89</f>
        <v>45.434393503358493</v>
      </c>
      <c r="P23" s="7">
        <f>[5]Final_quantities_w_ASM_85!AB89</f>
        <v>41.18066817037402</v>
      </c>
      <c r="Q23" s="7">
        <f>[5]Final_quantities_w_ASM_85!AC89</f>
        <v>38.691516089207084</v>
      </c>
      <c r="R23" s="7">
        <f>[5]Final_quantities_w_ASM_85!AD89</f>
        <v>34.793804965135031</v>
      </c>
      <c r="S23" s="7">
        <f>[5]Final_quantities_w_ASM_85!AE89</f>
        <v>38.845725201786685</v>
      </c>
      <c r="T23" s="7">
        <f>[5]Final_quantities_w_ASM_85!AF89</f>
        <v>43.649220105879614</v>
      </c>
      <c r="U23" s="7">
        <f>[5]Final_quantities_w_ASM_85!AG89</f>
        <v>48.376910834473627</v>
      </c>
      <c r="V23" s="7">
        <f>[5]Final_quantities_w_ASM_85!AH89</f>
        <v>54.115808203994426</v>
      </c>
      <c r="W23" s="7">
        <f>[5]Final_quantities_w_ASM_85!AI89</f>
        <v>44.376519847417413</v>
      </c>
      <c r="X23" s="7">
        <f>[5]Final_quantities_w_ASM_85!AJ89</f>
        <v>42.585114115551526</v>
      </c>
      <c r="Y23" s="7">
        <f>[5]Final_quantities_w_ASM_85!AK89</f>
        <v>48.102127659574457</v>
      </c>
      <c r="Z23" s="7">
        <f>[5]Final_quantities_w_ASM_85!AL89</f>
        <v>46.958868293422434</v>
      </c>
      <c r="AA23" s="7">
        <f>[5]Final_quantities_w_ASM_85!AM89</f>
        <v>38.107648163328278</v>
      </c>
      <c r="AB23" s="7">
        <f>[5]Final_quantities_w_ASM_85!AN89</f>
        <v>33.037569992500757</v>
      </c>
      <c r="AC23" s="7">
        <f>[5]Final_quantities_w_ASM_85!AO89</f>
        <v>35.217157302454538</v>
      </c>
      <c r="AD23" s="7">
        <f>[5]Final_quantities_w_ASM_85!AP89</f>
        <v>29.981286408877981</v>
      </c>
      <c r="AE23" s="7">
        <f>[5]Final_quantities_w_ASM_85!AQ89</f>
        <v>28.325923449223243</v>
      </c>
      <c r="AF23" s="7">
        <f>[5]Final_quantities_w_ASM_85!AR89</f>
        <v>27.318702085676964</v>
      </c>
      <c r="AG23" s="7">
        <f>[5]Final_quantities_w_ASM_85!AS89</f>
        <v>32.499999999999993</v>
      </c>
      <c r="AH23" s="7">
        <f>[5]Final_quantities_w_ASM_85!AT89</f>
        <v>31.551169524195082</v>
      </c>
      <c r="AI23" s="7">
        <f>[5]Final_quantities_w_ASM_85!AU89</f>
        <v>20.57435194335509</v>
      </c>
      <c r="AJ23" s="7">
        <f>[5]Final_quantities_w_ASM_85!AV89</f>
        <v>22.717445750196447</v>
      </c>
      <c r="AK23" s="7">
        <f>[5]Final_quantities_w_ASM_85!AW89</f>
        <v>17.400000000000006</v>
      </c>
      <c r="AL23" s="7">
        <f>[5]Final_quantities_w_ASM_85!AX89</f>
        <v>20.469251695287955</v>
      </c>
      <c r="AM23" s="7">
        <f>[5]Final_quantities_w_ASM_85!AY89</f>
        <v>23.023199689475078</v>
      </c>
      <c r="AN23" s="7">
        <f>[5]Final_quantities_w_ASM_85!AZ89</f>
        <v>27.627644290160163</v>
      </c>
      <c r="AO23" s="7">
        <f>[5]Final_quantities_w_ASM_85!BA89</f>
        <v>27.879226930194235</v>
      </c>
      <c r="AP23" s="7">
        <f>[5]Final_quantities_w_ASM_85!BB89</f>
        <v>34.222387163537746</v>
      </c>
      <c r="AQ23" s="7">
        <f>[5]Final_quantities_w_ASM_85!BC89</f>
        <v>39.043348927987246</v>
      </c>
      <c r="AR23" s="7">
        <f>[5]Final_quantities_w_ASM_85!BD89</f>
        <v>38.775687267742256</v>
      </c>
      <c r="AT23" s="7">
        <f t="shared" si="2"/>
        <v>17</v>
      </c>
    </row>
    <row r="24" spans="6:61" x14ac:dyDescent="0.2">
      <c r="R24">
        <v>4</v>
      </c>
      <c r="S24">
        <v>5</v>
      </c>
      <c r="T24">
        <v>6</v>
      </c>
      <c r="U24">
        <v>7</v>
      </c>
      <c r="Y24" s="7">
        <f>SUM(Y6:Y23)</f>
        <v>14662.855505328862</v>
      </c>
      <c r="Z24" s="7">
        <f t="shared" ref="Z24:AR24" si="3">SUM(Z6:Z23)</f>
        <v>15289.091239323805</v>
      </c>
      <c r="AA24" s="7">
        <f t="shared" si="3"/>
        <v>15247.729505556101</v>
      </c>
      <c r="AB24" s="7">
        <f t="shared" si="3"/>
        <v>14519.099638106312</v>
      </c>
      <c r="AC24" s="7">
        <f t="shared" si="3"/>
        <v>13438.246077465128</v>
      </c>
      <c r="AD24" s="7">
        <f t="shared" si="3"/>
        <v>12689.363658644697</v>
      </c>
      <c r="AE24" s="7">
        <f t="shared" si="3"/>
        <v>12669.204448244596</v>
      </c>
      <c r="AF24" s="7">
        <f t="shared" si="3"/>
        <v>12504.720725385954</v>
      </c>
      <c r="AG24" s="7">
        <f t="shared" si="3"/>
        <v>12816.722814830675</v>
      </c>
      <c r="AH24" s="7">
        <f t="shared" si="3"/>
        <v>12862.437774392583</v>
      </c>
      <c r="AI24" s="7">
        <f t="shared" si="3"/>
        <v>12080.692746037144</v>
      </c>
      <c r="AJ24" s="7">
        <f t="shared" si="3"/>
        <v>10848.233319295932</v>
      </c>
      <c r="AK24" s="7">
        <f t="shared" si="3"/>
        <v>11787.157608555088</v>
      </c>
      <c r="AL24" s="7">
        <f t="shared" si="3"/>
        <v>11656.763524758398</v>
      </c>
      <c r="AM24" s="7">
        <f t="shared" si="3"/>
        <v>11014.355696230054</v>
      </c>
      <c r="AN24" s="7">
        <f t="shared" si="3"/>
        <v>11928.628195828225</v>
      </c>
      <c r="AO24" s="7">
        <f t="shared" si="3"/>
        <v>12302.031379872058</v>
      </c>
      <c r="AP24" s="7">
        <f t="shared" si="3"/>
        <v>11958.334609970821</v>
      </c>
      <c r="AQ24" s="7">
        <f t="shared" si="3"/>
        <v>12196.06109834975</v>
      </c>
      <c r="AR24" s="7">
        <f t="shared" si="3"/>
        <v>11882.003443086758</v>
      </c>
    </row>
    <row r="25" spans="6:61" x14ac:dyDescent="0.2">
      <c r="F25" s="37" t="s">
        <v>104</v>
      </c>
    </row>
    <row r="26" spans="6:61" x14ac:dyDescent="0.2">
      <c r="F26" t="s">
        <v>100</v>
      </c>
      <c r="Q26" s="65"/>
      <c r="R26" s="64"/>
      <c r="S26" s="64"/>
      <c r="T26" s="64"/>
      <c r="U26" s="64"/>
      <c r="AK26" s="52" t="s">
        <v>428</v>
      </c>
    </row>
    <row r="27" spans="6:61" x14ac:dyDescent="0.2">
      <c r="G27">
        <v>1985</v>
      </c>
      <c r="H27">
        <v>1986</v>
      </c>
      <c r="I27">
        <v>1987</v>
      </c>
      <c r="J27">
        <v>1988</v>
      </c>
      <c r="K27">
        <v>1989</v>
      </c>
      <c r="L27">
        <v>1990</v>
      </c>
      <c r="M27">
        <v>1991</v>
      </c>
      <c r="N27">
        <v>1992</v>
      </c>
      <c r="O27">
        <v>1993</v>
      </c>
      <c r="P27">
        <v>1994</v>
      </c>
      <c r="Q27" s="64">
        <v>1995</v>
      </c>
      <c r="R27" s="64">
        <f>Q27+1</f>
        <v>1996</v>
      </c>
      <c r="S27" s="64">
        <f t="shared" ref="S27:AD27" si="4">R27+1</f>
        <v>1997</v>
      </c>
      <c r="T27">
        <f t="shared" si="4"/>
        <v>1998</v>
      </c>
      <c r="U27">
        <f t="shared" si="4"/>
        <v>1999</v>
      </c>
      <c r="V27">
        <f t="shared" si="4"/>
        <v>2000</v>
      </c>
      <c r="W27">
        <f t="shared" si="4"/>
        <v>2001</v>
      </c>
      <c r="X27">
        <f t="shared" si="4"/>
        <v>2002</v>
      </c>
      <c r="Y27">
        <f t="shared" si="4"/>
        <v>2003</v>
      </c>
      <c r="Z27">
        <f t="shared" si="4"/>
        <v>2004</v>
      </c>
      <c r="AA27">
        <f t="shared" si="4"/>
        <v>2005</v>
      </c>
      <c r="AB27">
        <f t="shared" si="4"/>
        <v>2006</v>
      </c>
      <c r="AC27">
        <f t="shared" si="4"/>
        <v>2007</v>
      </c>
      <c r="AD27">
        <f t="shared" si="4"/>
        <v>2008</v>
      </c>
      <c r="AE27">
        <f>AD27+1</f>
        <v>2009</v>
      </c>
      <c r="AF27">
        <f>AE27+1</f>
        <v>2010</v>
      </c>
      <c r="AG27">
        <v>2011</v>
      </c>
      <c r="AH27">
        <v>2012</v>
      </c>
      <c r="AI27">
        <v>2013</v>
      </c>
      <c r="AJ27">
        <v>2014</v>
      </c>
      <c r="AK27">
        <v>2015</v>
      </c>
      <c r="AL27">
        <v>2016</v>
      </c>
      <c r="AM27">
        <v>2017</v>
      </c>
    </row>
    <row r="28" spans="6:61" x14ac:dyDescent="0.2">
      <c r="F28" t="str">
        <f>F6</f>
        <v>311-312</v>
      </c>
      <c r="G28">
        <f>1</f>
        <v>1</v>
      </c>
      <c r="H28">
        <f>M6/(0.67*L6+0.33*O6)</f>
        <v>1.0298522160555978</v>
      </c>
      <c r="I28">
        <f>N6/(0.33*L6+0.67*O6)</f>
        <v>0.99345010681405732</v>
      </c>
      <c r="J28">
        <v>1</v>
      </c>
      <c r="K28">
        <f t="shared" ref="K28:K45" si="5">P6/(0.67*O6+0.33*R6)</f>
        <v>1.0172615970289602</v>
      </c>
      <c r="L28">
        <f t="shared" ref="L28:L45" si="6">Q6/(0.33*O6+0.67*R6)</f>
        <v>0.97389580723304003</v>
      </c>
      <c r="M28">
        <v>1</v>
      </c>
      <c r="N28">
        <f>S6/(0.67*R6+0.33*U6)</f>
        <v>0.98673351540129317</v>
      </c>
      <c r="O28">
        <f>T6/(0.33*R6+0.67*U6)</f>
        <v>0.98283131681973457</v>
      </c>
      <c r="P28">
        <v>1</v>
      </c>
      <c r="Q28">
        <f t="shared" ref="Q28:Q45" si="7">V6/(0.75*U6+0.25*Y6)</f>
        <v>1.0120082977711273</v>
      </c>
      <c r="R28">
        <f t="shared" ref="R28:R45" si="8">W6/(0.5*U6+0.5*Y6)</f>
        <v>0.89978872072351257</v>
      </c>
      <c r="S28">
        <f t="shared" ref="S28:S45" si="9">X6/(0.25*U6+0.75*Y6)</f>
        <v>0.92494590538993915</v>
      </c>
      <c r="T28">
        <v>1</v>
      </c>
      <c r="U28">
        <f t="shared" ref="U28:U33" si="10">Z6/(0.75*Y6+0.25*AC6)</f>
        <v>1.0089967811798619</v>
      </c>
      <c r="V28">
        <f t="shared" ref="V28:V33" si="11">AA6/(0.5*Y6+0.5*AC6)</f>
        <v>0.94830121177520732</v>
      </c>
      <c r="W28">
        <f t="shared" ref="W28:W45" si="12">AB6/(0.25*Y6+0.75*AC6)</f>
        <v>1.0863546892602309</v>
      </c>
      <c r="X28">
        <v>1</v>
      </c>
      <c r="Y28">
        <f t="shared" ref="Y28:Y45" si="13">AD6/(0.75*AC6+0.25*AG6)</f>
        <v>0.93027754185901834</v>
      </c>
      <c r="Z28">
        <f t="shared" ref="Z28:Z45" si="14">AE6/(0.5*AC6+0.5*AG6)</f>
        <v>0.8867375352801723</v>
      </c>
      <c r="AA28">
        <f t="shared" ref="AA28:AA45" si="15">AF6/(0.25*AC6+0.75*AG6)</f>
        <v>0.88057081702045281</v>
      </c>
      <c r="AB28">
        <v>1</v>
      </c>
      <c r="AC28">
        <f t="shared" ref="AC28:AC45" si="16">AH6/(0.75*AG6+0.25*AK6)</f>
        <v>1.0171569193043488</v>
      </c>
      <c r="AD28">
        <f t="shared" ref="AD28:AD45" si="17">AI6/(0.5*AG6+0.5*AK6)</f>
        <v>0.92643065231651134</v>
      </c>
      <c r="AE28">
        <f t="shared" ref="AE28:AE45" si="18">AJ6/(0.25*AG6+0.75*AK6)</f>
        <v>1.1131567445903134</v>
      </c>
      <c r="AF28">
        <v>1</v>
      </c>
      <c r="AG28">
        <f t="shared" ref="AG28:AG45" si="19">AL6/(0.75*AK6+0.25*AO6)</f>
        <v>1.0124501623400903</v>
      </c>
      <c r="AH28">
        <f t="shared" ref="AH28:AH45" si="20">AM6/(0.5*AK6+0.5*AO6)</f>
        <v>0.95943842160977533</v>
      </c>
      <c r="AI28">
        <f t="shared" ref="AI28:AI45" si="21">AN6/(0.25*AK6+0.75*AO6)</f>
        <v>1.0023940610925413</v>
      </c>
      <c r="AJ28">
        <v>1</v>
      </c>
      <c r="AK28" s="108">
        <f>AP6/$AO6</f>
        <v>1.1093973592856308</v>
      </c>
      <c r="AL28" s="108">
        <f t="shared" ref="AL28:AM43" si="22">AQ6/$AO6</f>
        <v>1.1428415796069673</v>
      </c>
      <c r="AM28" s="108">
        <f t="shared" si="22"/>
        <v>1.0459610343935575</v>
      </c>
    </row>
    <row r="29" spans="6:61" x14ac:dyDescent="0.2">
      <c r="F29" t="str">
        <f t="shared" ref="F29:F45" si="23">F7</f>
        <v>313-314</v>
      </c>
      <c r="G29">
        <f>1</f>
        <v>1</v>
      </c>
      <c r="H29">
        <f t="shared" ref="H29:H45" si="24">M7/(0.67*L7+0.33*O7)</f>
        <v>1.0444910450436449</v>
      </c>
      <c r="I29">
        <f t="shared" ref="I29:I45" si="25">N7/(0.33*L7+0.67*O7)</f>
        <v>1.0497949551537811</v>
      </c>
      <c r="J29">
        <v>1</v>
      </c>
      <c r="K29">
        <f t="shared" si="5"/>
        <v>0.99625654003832909</v>
      </c>
      <c r="L29">
        <f t="shared" si="6"/>
        <v>0.92988341007321962</v>
      </c>
      <c r="M29">
        <v>1</v>
      </c>
      <c r="N29">
        <f>S7/(0.67*R7+0.33*U7)</f>
        <v>0.97760743181174403</v>
      </c>
      <c r="O29">
        <f>T7/(0.33*R7+0.67*U7)</f>
        <v>0.97401328839643087</v>
      </c>
      <c r="P29">
        <v>1</v>
      </c>
      <c r="Q29">
        <f t="shared" si="7"/>
        <v>1.0011099059311306</v>
      </c>
      <c r="R29">
        <f t="shared" si="8"/>
        <v>0.88686186431922165</v>
      </c>
      <c r="S29">
        <f t="shared" si="9"/>
        <v>0.9163115232273179</v>
      </c>
      <c r="T29">
        <v>1</v>
      </c>
      <c r="U29">
        <f t="shared" si="10"/>
        <v>1.0502096815390605</v>
      </c>
      <c r="V29">
        <f t="shared" si="11"/>
        <v>0.90837559656663036</v>
      </c>
      <c r="W29">
        <f t="shared" si="12"/>
        <v>0.93572382717404801</v>
      </c>
      <c r="X29">
        <v>1</v>
      </c>
      <c r="Y29">
        <f t="shared" si="13"/>
        <v>0.89156892607158578</v>
      </c>
      <c r="Z29">
        <f t="shared" si="14"/>
        <v>0.92067988704806303</v>
      </c>
      <c r="AA29">
        <f t="shared" si="15"/>
        <v>0.96239829821058653</v>
      </c>
      <c r="AB29">
        <v>1</v>
      </c>
      <c r="AC29">
        <f t="shared" si="16"/>
        <v>0.84812576694352992</v>
      </c>
      <c r="AD29">
        <f t="shared" si="17"/>
        <v>0.88428012036826809</v>
      </c>
      <c r="AE29">
        <f t="shared" si="18"/>
        <v>1.054612377033205</v>
      </c>
      <c r="AF29">
        <v>1</v>
      </c>
      <c r="AG29">
        <f t="shared" si="19"/>
        <v>0.98814505219476834</v>
      </c>
      <c r="AH29">
        <f t="shared" si="20"/>
        <v>0.97361538472734321</v>
      </c>
      <c r="AI29">
        <f t="shared" si="21"/>
        <v>1.0175245005710156</v>
      </c>
      <c r="AJ29">
        <v>1</v>
      </c>
      <c r="AK29" s="108">
        <f t="shared" ref="AK29:AK45" si="26">AP7/$AO7</f>
        <v>1.0348479089815203</v>
      </c>
      <c r="AL29" s="108">
        <f t="shared" si="22"/>
        <v>1.0880307217899403</v>
      </c>
      <c r="AM29" s="108">
        <f t="shared" si="22"/>
        <v>0.81141631978471029</v>
      </c>
    </row>
    <row r="30" spans="6:61" x14ac:dyDescent="0.2">
      <c r="F30" t="str">
        <f t="shared" si="23"/>
        <v>315-316</v>
      </c>
      <c r="G30">
        <f>1</f>
        <v>1</v>
      </c>
      <c r="H30">
        <f t="shared" si="24"/>
        <v>1.1264670732592152</v>
      </c>
      <c r="I30">
        <f t="shared" si="25"/>
        <v>1.0264456794640062</v>
      </c>
      <c r="J30">
        <v>1</v>
      </c>
      <c r="K30">
        <f t="shared" si="5"/>
        <v>0.8973564468661257</v>
      </c>
      <c r="L30">
        <f t="shared" si="6"/>
        <v>0.85558707065284945</v>
      </c>
      <c r="M30">
        <v>1</v>
      </c>
      <c r="N30" s="3">
        <v>1</v>
      </c>
      <c r="O30" s="3">
        <v>1</v>
      </c>
      <c r="P30">
        <v>1</v>
      </c>
      <c r="Q30">
        <f t="shared" si="7"/>
        <v>1.1460582963014458</v>
      </c>
      <c r="R30">
        <f t="shared" si="8"/>
        <v>0.95555120731927867</v>
      </c>
      <c r="S30">
        <f t="shared" si="9"/>
        <v>0.93730172205838058</v>
      </c>
      <c r="T30">
        <v>1</v>
      </c>
      <c r="U30">
        <f t="shared" si="10"/>
        <v>1.0786923361130525</v>
      </c>
      <c r="V30">
        <f t="shared" si="11"/>
        <v>0.96290170760932225</v>
      </c>
      <c r="W30">
        <f t="shared" si="12"/>
        <v>1.0083558433987687</v>
      </c>
      <c r="X30">
        <v>1</v>
      </c>
      <c r="Y30">
        <f t="shared" si="13"/>
        <v>0.7067968317959854</v>
      </c>
      <c r="Z30">
        <f t="shared" si="14"/>
        <v>0.83452142750512481</v>
      </c>
      <c r="AA30">
        <f t="shared" si="15"/>
        <v>0.86169736652328799</v>
      </c>
      <c r="AB30">
        <v>1</v>
      </c>
      <c r="AC30">
        <f t="shared" si="16"/>
        <v>0.76094716486077851</v>
      </c>
      <c r="AD30">
        <f t="shared" si="17"/>
        <v>0.51065005779067263</v>
      </c>
      <c r="AE30">
        <f t="shared" si="18"/>
        <v>0.79587260245557001</v>
      </c>
      <c r="AF30">
        <v>1</v>
      </c>
      <c r="AG30">
        <f t="shared" si="19"/>
        <v>1.1611368955663701</v>
      </c>
      <c r="AH30">
        <f t="shared" si="20"/>
        <v>0.9611336878970993</v>
      </c>
      <c r="AI30">
        <f t="shared" si="21"/>
        <v>0.99246995977662744</v>
      </c>
      <c r="AJ30">
        <v>1</v>
      </c>
      <c r="AK30" s="108">
        <f t="shared" si="26"/>
        <v>1.4773611996137594</v>
      </c>
      <c r="AL30" s="108">
        <f t="shared" si="22"/>
        <v>1.6549044357670579</v>
      </c>
      <c r="AM30" s="108">
        <f t="shared" si="22"/>
        <v>1.4256739861830594</v>
      </c>
    </row>
    <row r="31" spans="6:61" x14ac:dyDescent="0.2">
      <c r="F31" t="str">
        <f t="shared" si="23"/>
        <v>321</v>
      </c>
      <c r="G31">
        <f>1</f>
        <v>1</v>
      </c>
      <c r="H31">
        <f t="shared" si="24"/>
        <v>0.95946944916155863</v>
      </c>
      <c r="I31">
        <f t="shared" si="25"/>
        <v>1.0297466073128438</v>
      </c>
      <c r="J31">
        <v>1</v>
      </c>
      <c r="K31">
        <f t="shared" si="5"/>
        <v>1.0272331204925731</v>
      </c>
      <c r="L31">
        <f t="shared" si="6"/>
        <v>1.0217419239437735</v>
      </c>
      <c r="M31">
        <v>1</v>
      </c>
      <c r="N31">
        <f t="shared" ref="N31:N45" si="27">S9/(0.67*R9+0.33*U9)</f>
        <v>0.90293793302729808</v>
      </c>
      <c r="O31">
        <f t="shared" ref="O31:O45" si="28">T9/(0.33*R9+0.67*U9)</f>
        <v>0.97189868224157872</v>
      </c>
      <c r="P31">
        <v>1</v>
      </c>
      <c r="Q31">
        <f t="shared" si="7"/>
        <v>1.0735964661169579</v>
      </c>
      <c r="R31">
        <f t="shared" si="8"/>
        <v>0.94362379661564999</v>
      </c>
      <c r="S31">
        <f t="shared" si="9"/>
        <v>0.87004220386223496</v>
      </c>
      <c r="T31">
        <v>1</v>
      </c>
      <c r="U31">
        <f t="shared" si="10"/>
        <v>1.1425731172373408</v>
      </c>
      <c r="V31">
        <f t="shared" si="11"/>
        <v>1.0756343177518677</v>
      </c>
      <c r="W31">
        <f t="shared" si="12"/>
        <v>0.99838827845835854</v>
      </c>
      <c r="X31">
        <v>1</v>
      </c>
      <c r="Y31">
        <f t="shared" si="13"/>
        <v>0.99797805551550722</v>
      </c>
      <c r="Z31">
        <f t="shared" si="14"/>
        <v>1.0165636491537184</v>
      </c>
      <c r="AA31">
        <f t="shared" si="15"/>
        <v>0.96142122839900035</v>
      </c>
      <c r="AB31">
        <v>1</v>
      </c>
      <c r="AC31">
        <f t="shared" si="16"/>
        <v>1.0401785080596264</v>
      </c>
      <c r="AD31">
        <f t="shared" si="17"/>
        <v>0.88298016424345271</v>
      </c>
      <c r="AE31">
        <f t="shared" si="18"/>
        <v>0.87043621436209806</v>
      </c>
      <c r="AF31">
        <v>1</v>
      </c>
      <c r="AG31">
        <f t="shared" si="19"/>
        <v>0.88105453984858795</v>
      </c>
      <c r="AH31">
        <f t="shared" si="20"/>
        <v>0.73568482246015066</v>
      </c>
      <c r="AI31">
        <f t="shared" si="21"/>
        <v>0.886402214812954</v>
      </c>
      <c r="AJ31">
        <v>1</v>
      </c>
      <c r="AK31" s="108">
        <f t="shared" si="26"/>
        <v>1.24201012198773</v>
      </c>
      <c r="AL31" s="108">
        <f t="shared" si="22"/>
        <v>1.3803995697622968</v>
      </c>
      <c r="AM31" s="108">
        <f t="shared" si="22"/>
        <v>1.4734201687824959</v>
      </c>
    </row>
    <row r="32" spans="6:61" x14ac:dyDescent="0.2">
      <c r="F32" t="str">
        <f t="shared" si="23"/>
        <v>322</v>
      </c>
      <c r="G32">
        <f>1</f>
        <v>1</v>
      </c>
      <c r="H32">
        <f t="shared" si="24"/>
        <v>0.96287940818082418</v>
      </c>
      <c r="I32">
        <f t="shared" si="25"/>
        <v>0.96705056532509692</v>
      </c>
      <c r="J32">
        <v>1</v>
      </c>
      <c r="K32">
        <f t="shared" si="5"/>
        <v>0.99762085289118529</v>
      </c>
      <c r="L32">
        <f t="shared" si="6"/>
        <v>1.0011668763743076</v>
      </c>
      <c r="M32">
        <v>1</v>
      </c>
      <c r="N32">
        <f t="shared" si="27"/>
        <v>1.0275329909907709</v>
      </c>
      <c r="O32">
        <f t="shared" si="28"/>
        <v>1.0225746919534286</v>
      </c>
      <c r="P32">
        <v>1</v>
      </c>
      <c r="Q32">
        <f t="shared" si="7"/>
        <v>1.0181898772964313</v>
      </c>
      <c r="R32">
        <f t="shared" si="8"/>
        <v>0.9961209789867338</v>
      </c>
      <c r="S32">
        <f t="shared" si="9"/>
        <v>0.9858416082172341</v>
      </c>
      <c r="T32">
        <v>1</v>
      </c>
      <c r="U32">
        <f t="shared" si="10"/>
        <v>1.0219183659483864</v>
      </c>
      <c r="V32">
        <f t="shared" si="11"/>
        <v>1.0157515548112126</v>
      </c>
      <c r="W32">
        <f t="shared" si="12"/>
        <v>1.0311392158180994</v>
      </c>
      <c r="X32">
        <v>1</v>
      </c>
      <c r="Y32">
        <f t="shared" si="13"/>
        <v>0.96827618915294766</v>
      </c>
      <c r="Z32">
        <f t="shared" si="14"/>
        <v>0.95586069124642004</v>
      </c>
      <c r="AA32">
        <f t="shared" si="15"/>
        <v>0.96557649334031814</v>
      </c>
      <c r="AB32">
        <v>1</v>
      </c>
      <c r="AC32">
        <f t="shared" si="16"/>
        <v>1.0166323061826439</v>
      </c>
      <c r="AD32">
        <f t="shared" si="17"/>
        <v>0.95012832522360391</v>
      </c>
      <c r="AE32">
        <f t="shared" si="18"/>
        <v>0.90760581607379909</v>
      </c>
      <c r="AF32">
        <v>1</v>
      </c>
      <c r="AG32">
        <f t="shared" si="19"/>
        <v>0.90504724176267937</v>
      </c>
      <c r="AH32">
        <f t="shared" si="20"/>
        <v>0.88290649248016084</v>
      </c>
      <c r="AI32">
        <f t="shared" si="21"/>
        <v>0.9529317105626024</v>
      </c>
      <c r="AJ32">
        <v>1</v>
      </c>
      <c r="AK32" s="108">
        <f t="shared" si="26"/>
        <v>1.0092332736411624</v>
      </c>
      <c r="AL32" s="108">
        <f t="shared" si="22"/>
        <v>1.0113759218914393</v>
      </c>
      <c r="AM32" s="108">
        <f t="shared" si="22"/>
        <v>0.94451761972172188</v>
      </c>
      <c r="BI32" s="52" t="s">
        <v>455</v>
      </c>
    </row>
    <row r="33" spans="6:62" x14ac:dyDescent="0.2">
      <c r="F33" t="str">
        <f t="shared" si="23"/>
        <v>323</v>
      </c>
      <c r="G33">
        <f>1</f>
        <v>1</v>
      </c>
      <c r="H33">
        <f t="shared" si="24"/>
        <v>1.0090199959565531</v>
      </c>
      <c r="I33">
        <f t="shared" si="25"/>
        <v>0.99400643517330534</v>
      </c>
      <c r="J33">
        <v>1</v>
      </c>
      <c r="K33">
        <f t="shared" si="5"/>
        <v>1.0417592492627143</v>
      </c>
      <c r="L33">
        <f t="shared" si="6"/>
        <v>1.030056934130819</v>
      </c>
      <c r="M33">
        <v>1</v>
      </c>
      <c r="N33">
        <f t="shared" si="27"/>
        <v>1.0022226626222432</v>
      </c>
      <c r="O33">
        <f t="shared" si="28"/>
        <v>0.93816171795120207</v>
      </c>
      <c r="P33">
        <v>1</v>
      </c>
      <c r="Q33">
        <f t="shared" si="7"/>
        <v>1.0909981855734536</v>
      </c>
      <c r="R33">
        <f t="shared" si="8"/>
        <v>0.95891943023988535</v>
      </c>
      <c r="S33">
        <f t="shared" si="9"/>
        <v>0.91190056298494548</v>
      </c>
      <c r="T33">
        <v>1</v>
      </c>
      <c r="U33">
        <f t="shared" si="10"/>
        <v>1.1051368956285954</v>
      </c>
      <c r="V33">
        <f t="shared" si="11"/>
        <v>0.9277452739290577</v>
      </c>
      <c r="W33">
        <f t="shared" si="12"/>
        <v>0.92288736224699552</v>
      </c>
      <c r="X33">
        <v>1</v>
      </c>
      <c r="Y33">
        <f t="shared" si="13"/>
        <v>0.8639888279190755</v>
      </c>
      <c r="Z33">
        <f t="shared" si="14"/>
        <v>0.90658269677308878</v>
      </c>
      <c r="AA33">
        <f t="shared" si="15"/>
        <v>0.87031682917214415</v>
      </c>
      <c r="AB33">
        <v>1</v>
      </c>
      <c r="AC33">
        <f t="shared" si="16"/>
        <v>1.0412513070923268</v>
      </c>
      <c r="AD33">
        <f t="shared" si="17"/>
        <v>0.85004936803423337</v>
      </c>
      <c r="AE33">
        <f t="shared" si="18"/>
        <v>1.1560389334331482</v>
      </c>
      <c r="AF33">
        <v>1</v>
      </c>
      <c r="AG33">
        <f t="shared" si="19"/>
        <v>1.0724796308700006</v>
      </c>
      <c r="AH33">
        <f t="shared" si="20"/>
        <v>1.0759724116961391</v>
      </c>
      <c r="AI33">
        <f t="shared" si="21"/>
        <v>1.054643620577475</v>
      </c>
      <c r="AJ33">
        <v>1</v>
      </c>
      <c r="AK33" s="108">
        <f t="shared" si="26"/>
        <v>1.0443229175434816</v>
      </c>
      <c r="AL33" s="108">
        <f t="shared" si="22"/>
        <v>1.2206557177037145</v>
      </c>
      <c r="AM33" s="108">
        <f t="shared" si="22"/>
        <v>1.4874296102864104</v>
      </c>
    </row>
    <row r="34" spans="6:62" x14ac:dyDescent="0.2">
      <c r="F34" t="str">
        <f t="shared" si="23"/>
        <v>324</v>
      </c>
      <c r="G34">
        <f>1</f>
        <v>1</v>
      </c>
      <c r="H34">
        <f t="shared" si="24"/>
        <v>0.97861278831536225</v>
      </c>
      <c r="I34">
        <f t="shared" si="25"/>
        <v>0.89024015541553925</v>
      </c>
      <c r="J34">
        <v>1</v>
      </c>
      <c r="K34">
        <f t="shared" si="5"/>
        <v>0.98022363607491825</v>
      </c>
      <c r="L34">
        <f t="shared" si="6"/>
        <v>1.067000546589508</v>
      </c>
      <c r="M34">
        <v>1</v>
      </c>
      <c r="N34">
        <f t="shared" si="27"/>
        <v>0.96692414894384915</v>
      </c>
      <c r="O34">
        <f t="shared" si="28"/>
        <v>1.0615167424111787</v>
      </c>
      <c r="P34">
        <v>1</v>
      </c>
      <c r="Q34">
        <f t="shared" si="7"/>
        <v>0.9706823257041145</v>
      </c>
      <c r="R34">
        <f t="shared" si="8"/>
        <v>0.92630553802067195</v>
      </c>
      <c r="S34">
        <f t="shared" si="9"/>
        <v>0.86558672409190041</v>
      </c>
      <c r="T34">
        <v>1</v>
      </c>
      <c r="U34" s="3">
        <v>1.05</v>
      </c>
      <c r="V34" s="3">
        <v>1.1000000000000001</v>
      </c>
      <c r="W34">
        <f t="shared" si="12"/>
        <v>1.0628363056378711</v>
      </c>
      <c r="X34">
        <v>1</v>
      </c>
      <c r="Y34">
        <f t="shared" si="13"/>
        <v>0.94458132945614193</v>
      </c>
      <c r="Z34">
        <f t="shared" si="14"/>
        <v>0.95528991380785033</v>
      </c>
      <c r="AA34">
        <f t="shared" si="15"/>
        <v>0.99388583405535513</v>
      </c>
      <c r="AB34">
        <v>1</v>
      </c>
      <c r="AC34">
        <f t="shared" si="16"/>
        <v>0.99708421786000101</v>
      </c>
      <c r="AD34">
        <f t="shared" si="17"/>
        <v>1.0263135530552405</v>
      </c>
      <c r="AE34">
        <f t="shared" si="18"/>
        <v>0.87601924885589355</v>
      </c>
      <c r="AF34">
        <v>1</v>
      </c>
      <c r="AG34">
        <f t="shared" si="19"/>
        <v>0.9731817367374801</v>
      </c>
      <c r="AH34">
        <f t="shared" si="20"/>
        <v>0.90639363425508146</v>
      </c>
      <c r="AI34">
        <f t="shared" si="21"/>
        <v>0.95233071472280673</v>
      </c>
      <c r="AJ34">
        <v>1</v>
      </c>
      <c r="AK34" s="108">
        <f t="shared" si="26"/>
        <v>0.79572849536672963</v>
      </c>
      <c r="AL34" s="108">
        <f t="shared" si="22"/>
        <v>0.71519086353466133</v>
      </c>
      <c r="AM34" s="108">
        <f t="shared" si="22"/>
        <v>0.79305116148357357</v>
      </c>
      <c r="BJ34" t="s">
        <v>139</v>
      </c>
    </row>
    <row r="35" spans="6:62" x14ac:dyDescent="0.2">
      <c r="F35" t="str">
        <f t="shared" si="23"/>
        <v>325</v>
      </c>
      <c r="G35">
        <f>1</f>
        <v>1</v>
      </c>
      <c r="H35">
        <f t="shared" si="24"/>
        <v>0.86062317773030306</v>
      </c>
      <c r="I35">
        <f t="shared" si="25"/>
        <v>0.96335734929576977</v>
      </c>
      <c r="J35">
        <v>1</v>
      </c>
      <c r="K35">
        <f t="shared" si="5"/>
        <v>1.0096413629061718</v>
      </c>
      <c r="L35">
        <f t="shared" si="6"/>
        <v>0.9960363475743933</v>
      </c>
      <c r="M35">
        <v>1</v>
      </c>
      <c r="N35">
        <f t="shared" si="27"/>
        <v>1.0018314232410157</v>
      </c>
      <c r="O35">
        <f t="shared" si="28"/>
        <v>1.0527518296712719</v>
      </c>
      <c r="P35">
        <v>1</v>
      </c>
      <c r="Q35">
        <f t="shared" si="7"/>
        <v>1.0173521409731308</v>
      </c>
      <c r="R35">
        <f t="shared" si="8"/>
        <v>1.0189768836812454</v>
      </c>
      <c r="S35">
        <f t="shared" si="9"/>
        <v>0.93085621368824134</v>
      </c>
      <c r="T35">
        <v>1</v>
      </c>
      <c r="U35">
        <f t="shared" ref="U35:U45" si="29">Z13/(0.75*Y13+0.25*AC13)</f>
        <v>1.1084670013772591</v>
      </c>
      <c r="V35">
        <f t="shared" ref="V35:V45" si="30">AA13/(0.5*Y13+0.5*AC13)</f>
        <v>1.1346588072347266</v>
      </c>
      <c r="W35">
        <f t="shared" si="12"/>
        <v>1.104087802076692</v>
      </c>
      <c r="X35">
        <v>1</v>
      </c>
      <c r="Y35">
        <f t="shared" si="13"/>
        <v>0.93031499791890748</v>
      </c>
      <c r="Z35">
        <f t="shared" si="14"/>
        <v>0.94993586832623012</v>
      </c>
      <c r="AA35">
        <f t="shared" si="15"/>
        <v>0.96884730508403538</v>
      </c>
      <c r="AB35">
        <v>1</v>
      </c>
      <c r="AC35">
        <f t="shared" si="16"/>
        <v>1.0313319609809843</v>
      </c>
      <c r="AD35">
        <f t="shared" si="17"/>
        <v>0.98854247312522581</v>
      </c>
      <c r="AE35">
        <f t="shared" si="18"/>
        <v>0.88078529985020182</v>
      </c>
      <c r="AF35">
        <v>1</v>
      </c>
      <c r="AG35">
        <f t="shared" si="19"/>
        <v>1.0068982816758323</v>
      </c>
      <c r="AH35">
        <f t="shared" si="20"/>
        <v>0.93183231014822077</v>
      </c>
      <c r="AI35">
        <f t="shared" si="21"/>
        <v>1.0260827832599728</v>
      </c>
      <c r="AJ35">
        <v>1</v>
      </c>
      <c r="AK35" s="108">
        <f t="shared" si="26"/>
        <v>1.0626618814894657</v>
      </c>
      <c r="AL35" s="108">
        <f t="shared" si="22"/>
        <v>1.176777190981745</v>
      </c>
      <c r="AM35" s="108">
        <f t="shared" si="22"/>
        <v>1.070764620821024</v>
      </c>
      <c r="BJ35" s="2" t="s">
        <v>140</v>
      </c>
    </row>
    <row r="36" spans="6:62" x14ac:dyDescent="0.2">
      <c r="F36" t="str">
        <f t="shared" si="23"/>
        <v>326</v>
      </c>
      <c r="G36">
        <f>1</f>
        <v>1</v>
      </c>
      <c r="H36">
        <f t="shared" si="24"/>
        <v>0.9952286879599691</v>
      </c>
      <c r="I36">
        <f t="shared" si="25"/>
        <v>1.0579606970122806</v>
      </c>
      <c r="J36">
        <v>1</v>
      </c>
      <c r="K36">
        <f t="shared" si="5"/>
        <v>1.0979993329287863</v>
      </c>
      <c r="L36">
        <f t="shared" si="6"/>
        <v>1.0092692927817961</v>
      </c>
      <c r="M36">
        <v>1</v>
      </c>
      <c r="N36">
        <f t="shared" si="27"/>
        <v>1.0157832763031336</v>
      </c>
      <c r="O36">
        <f t="shared" si="28"/>
        <v>1.0033565472965928</v>
      </c>
      <c r="P36">
        <v>1</v>
      </c>
      <c r="Q36">
        <f t="shared" si="7"/>
        <v>1.0668630267106551</v>
      </c>
      <c r="R36">
        <f t="shared" si="8"/>
        <v>1.0181775527659109</v>
      </c>
      <c r="S36">
        <f t="shared" si="9"/>
        <v>0.94157051495774891</v>
      </c>
      <c r="T36">
        <v>1</v>
      </c>
      <c r="U36">
        <f t="shared" si="29"/>
        <v>1.0922865756156348</v>
      </c>
      <c r="V36">
        <f t="shared" si="30"/>
        <v>1.0970029558065004</v>
      </c>
      <c r="W36">
        <f t="shared" si="12"/>
        <v>1.0618496320798998</v>
      </c>
      <c r="X36">
        <v>1</v>
      </c>
      <c r="Y36">
        <f t="shared" si="13"/>
        <v>0.99406695088254471</v>
      </c>
      <c r="Z36">
        <f t="shared" si="14"/>
        <v>0.97614489870871435</v>
      </c>
      <c r="AA36">
        <f t="shared" si="15"/>
        <v>0.95712608342878669</v>
      </c>
      <c r="AB36">
        <v>1</v>
      </c>
      <c r="AC36">
        <f t="shared" si="16"/>
        <v>0.99148378766250744</v>
      </c>
      <c r="AD36">
        <f t="shared" si="17"/>
        <v>0.881397913434115</v>
      </c>
      <c r="AE36">
        <f t="shared" si="18"/>
        <v>0.88947727124995302</v>
      </c>
      <c r="AF36">
        <v>1</v>
      </c>
      <c r="AG36">
        <f t="shared" si="19"/>
        <v>1.0118439085605078</v>
      </c>
      <c r="AH36">
        <f t="shared" si="20"/>
        <v>0.99586280595202203</v>
      </c>
      <c r="AI36">
        <f t="shared" si="21"/>
        <v>1.03808995756533</v>
      </c>
      <c r="AJ36">
        <v>1</v>
      </c>
      <c r="AK36" s="108">
        <f t="shared" si="26"/>
        <v>1.1360133532022689</v>
      </c>
      <c r="AL36" s="108">
        <f t="shared" si="22"/>
        <v>1.2934548104150771</v>
      </c>
      <c r="AM36" s="108">
        <f t="shared" si="22"/>
        <v>1.5134235078623857</v>
      </c>
      <c r="BI36">
        <v>1985</v>
      </c>
      <c r="BJ36">
        <f t="array" ref="BJ36:BJ68">TRANSPOSE(G69:AM69)</f>
        <v>11405.381661116657</v>
      </c>
    </row>
    <row r="37" spans="6:62" x14ac:dyDescent="0.2">
      <c r="F37" t="str">
        <f t="shared" si="23"/>
        <v>327</v>
      </c>
      <c r="G37">
        <f>1</f>
        <v>1</v>
      </c>
      <c r="H37">
        <f t="shared" si="24"/>
        <v>1.0145180828438269</v>
      </c>
      <c r="I37">
        <f t="shared" si="25"/>
        <v>1.0136041342108315</v>
      </c>
      <c r="J37">
        <v>1</v>
      </c>
      <c r="K37">
        <f t="shared" si="5"/>
        <v>1.0225650958944115</v>
      </c>
      <c r="L37">
        <f t="shared" si="6"/>
        <v>1.0235959912628447</v>
      </c>
      <c r="M37">
        <v>1</v>
      </c>
      <c r="N37">
        <f t="shared" si="27"/>
        <v>1.043278461677267</v>
      </c>
      <c r="O37">
        <f t="shared" si="28"/>
        <v>1.0688657889296904</v>
      </c>
      <c r="P37">
        <v>1</v>
      </c>
      <c r="Q37">
        <f t="shared" si="7"/>
        <v>1.0134367911028046</v>
      </c>
      <c r="R37">
        <f t="shared" si="8"/>
        <v>0.92766924337871615</v>
      </c>
      <c r="S37">
        <f t="shared" si="9"/>
        <v>0.93955707063581584</v>
      </c>
      <c r="T37">
        <v>1</v>
      </c>
      <c r="U37">
        <f t="shared" si="29"/>
        <v>1.0396114731322141</v>
      </c>
      <c r="V37">
        <f t="shared" si="30"/>
        <v>0.98559483019103944</v>
      </c>
      <c r="W37">
        <f t="shared" si="12"/>
        <v>0.94702700380916149</v>
      </c>
      <c r="X37">
        <v>1</v>
      </c>
      <c r="Y37">
        <f t="shared" si="13"/>
        <v>0.9143740750136774</v>
      </c>
      <c r="Z37">
        <f t="shared" si="14"/>
        <v>0.90561419964429513</v>
      </c>
      <c r="AA37">
        <f t="shared" si="15"/>
        <v>0.93741445285311031</v>
      </c>
      <c r="AB37">
        <v>1</v>
      </c>
      <c r="AC37">
        <f t="shared" si="16"/>
        <v>1.0229227297555112</v>
      </c>
      <c r="AD37">
        <f t="shared" si="17"/>
        <v>0.95559863375935172</v>
      </c>
      <c r="AE37">
        <f t="shared" si="18"/>
        <v>0.9370877651498466</v>
      </c>
      <c r="AF37">
        <v>1</v>
      </c>
      <c r="AG37">
        <f t="shared" si="19"/>
        <v>0.9794717531570607</v>
      </c>
      <c r="AH37">
        <f t="shared" si="20"/>
        <v>0.96086164506261029</v>
      </c>
      <c r="AI37">
        <f t="shared" si="21"/>
        <v>1.0080822675279189</v>
      </c>
      <c r="AJ37">
        <v>1</v>
      </c>
      <c r="AK37" s="108">
        <f t="shared" si="26"/>
        <v>1.0322535703413014</v>
      </c>
      <c r="AL37" s="108">
        <f t="shared" si="22"/>
        <v>1.1128950973450316</v>
      </c>
      <c r="AM37" s="108">
        <f t="shared" si="22"/>
        <v>1.0215690684300791</v>
      </c>
      <c r="BI37">
        <f>BI36+1</f>
        <v>1986</v>
      </c>
      <c r="BJ37">
        <v>11398.401338339347</v>
      </c>
    </row>
    <row r="38" spans="6:62" x14ac:dyDescent="0.2">
      <c r="F38" t="str">
        <f t="shared" si="23"/>
        <v>331</v>
      </c>
      <c r="G38">
        <f>1</f>
        <v>1</v>
      </c>
      <c r="H38">
        <f t="shared" si="24"/>
        <v>0.91034034997089597</v>
      </c>
      <c r="I38">
        <f t="shared" si="25"/>
        <v>0.88011334246631723</v>
      </c>
      <c r="J38">
        <v>1</v>
      </c>
      <c r="K38">
        <f t="shared" si="5"/>
        <v>1.053131439214529</v>
      </c>
      <c r="L38">
        <f t="shared" si="6"/>
        <v>1.0733264722510578</v>
      </c>
      <c r="M38">
        <v>1</v>
      </c>
      <c r="N38">
        <f t="shared" si="27"/>
        <v>0.97642076379290554</v>
      </c>
      <c r="O38">
        <f t="shared" si="28"/>
        <v>0.98900407286491721</v>
      </c>
      <c r="P38">
        <v>1</v>
      </c>
      <c r="Q38">
        <f t="shared" si="7"/>
        <v>0.97019215227956246</v>
      </c>
      <c r="R38">
        <f t="shared" si="8"/>
        <v>1.0114939203120163</v>
      </c>
      <c r="S38">
        <f t="shared" si="9"/>
        <v>0.99254540281695558</v>
      </c>
      <c r="T38">
        <v>1</v>
      </c>
      <c r="U38">
        <f t="shared" si="29"/>
        <v>0.99842250769646645</v>
      </c>
      <c r="V38">
        <f t="shared" si="30"/>
        <v>1.0842022934748079</v>
      </c>
      <c r="W38">
        <f t="shared" si="12"/>
        <v>1.087153737185159</v>
      </c>
      <c r="X38">
        <v>1</v>
      </c>
      <c r="Y38">
        <f t="shared" si="13"/>
        <v>1.0894339688208496</v>
      </c>
      <c r="Z38">
        <f t="shared" si="14"/>
        <v>1.172785698253995</v>
      </c>
      <c r="AA38">
        <f t="shared" si="15"/>
        <v>1.0313388359797839</v>
      </c>
      <c r="AB38">
        <v>1</v>
      </c>
      <c r="AC38">
        <f t="shared" si="16"/>
        <v>1.0943530286662173</v>
      </c>
      <c r="AD38">
        <f t="shared" si="17"/>
        <v>1.076262180799112</v>
      </c>
      <c r="AE38">
        <f t="shared" si="18"/>
        <v>0.76100660843915025</v>
      </c>
      <c r="AF38">
        <v>1</v>
      </c>
      <c r="AG38">
        <f t="shared" si="19"/>
        <v>1.0049409185055089</v>
      </c>
      <c r="AH38">
        <f t="shared" si="20"/>
        <v>0.87687489019896325</v>
      </c>
      <c r="AI38">
        <f t="shared" si="21"/>
        <v>0.95861902320471493</v>
      </c>
      <c r="AJ38">
        <v>1</v>
      </c>
      <c r="AK38" s="108">
        <f t="shared" si="26"/>
        <v>0.82935173020981268</v>
      </c>
      <c r="AL38" s="108">
        <f t="shared" si="22"/>
        <v>0.77672086497361625</v>
      </c>
      <c r="AM38" s="108">
        <f t="shared" si="22"/>
        <v>0.78736340849393605</v>
      </c>
      <c r="BI38">
        <f t="shared" ref="BI38:BI61" si="31">BI37+1</f>
        <v>1987</v>
      </c>
      <c r="BJ38">
        <v>11824.903702251868</v>
      </c>
    </row>
    <row r="39" spans="6:62" x14ac:dyDescent="0.2">
      <c r="F39" t="str">
        <f t="shared" si="23"/>
        <v>332</v>
      </c>
      <c r="G39">
        <f>1</f>
        <v>1</v>
      </c>
      <c r="H39">
        <f t="shared" si="24"/>
        <v>1.0308481781636458</v>
      </c>
      <c r="I39">
        <f t="shared" si="25"/>
        <v>1.0091198241222981</v>
      </c>
      <c r="J39">
        <v>1</v>
      </c>
      <c r="K39">
        <f t="shared" si="5"/>
        <v>1.0068319436213555</v>
      </c>
      <c r="L39">
        <f t="shared" si="6"/>
        <v>0.97444337964868877</v>
      </c>
      <c r="M39">
        <v>1</v>
      </c>
      <c r="N39">
        <f t="shared" si="27"/>
        <v>0.95250181600370654</v>
      </c>
      <c r="O39">
        <f t="shared" si="28"/>
        <v>0.96137211063957784</v>
      </c>
      <c r="P39">
        <v>1</v>
      </c>
      <c r="Q39">
        <f t="shared" si="7"/>
        <v>1.0970338857218809</v>
      </c>
      <c r="R39">
        <f t="shared" si="8"/>
        <v>0.93894575045960349</v>
      </c>
      <c r="S39">
        <f t="shared" si="9"/>
        <v>0.88606191032614479</v>
      </c>
      <c r="T39">
        <v>1</v>
      </c>
      <c r="U39">
        <f t="shared" si="29"/>
        <v>1.1300321634662915</v>
      </c>
      <c r="V39">
        <f t="shared" si="30"/>
        <v>1.0301745601028243</v>
      </c>
      <c r="W39">
        <f t="shared" si="12"/>
        <v>1.0034728328878491</v>
      </c>
      <c r="X39">
        <v>1</v>
      </c>
      <c r="Y39">
        <f t="shared" si="13"/>
        <v>0.90459666442810094</v>
      </c>
      <c r="Z39">
        <f t="shared" si="14"/>
        <v>0.858279084589049</v>
      </c>
      <c r="AA39">
        <f t="shared" si="15"/>
        <v>0.85016131377967119</v>
      </c>
      <c r="AB39">
        <v>1</v>
      </c>
      <c r="AC39">
        <f t="shared" si="16"/>
        <v>1.0103245498359554</v>
      </c>
      <c r="AD39">
        <f t="shared" si="17"/>
        <v>0.87198989742285615</v>
      </c>
      <c r="AE39">
        <f t="shared" si="18"/>
        <v>0.99182475013855631</v>
      </c>
      <c r="AF39">
        <v>1</v>
      </c>
      <c r="AG39">
        <f t="shared" si="19"/>
        <v>1.0441197333695269</v>
      </c>
      <c r="AH39">
        <f t="shared" si="20"/>
        <v>1.0338523973944849</v>
      </c>
      <c r="AI39">
        <f t="shared" si="21"/>
        <v>1.0157964202411791</v>
      </c>
      <c r="AJ39">
        <v>1</v>
      </c>
      <c r="AK39" s="108">
        <f t="shared" si="26"/>
        <v>1.2098459934729173</v>
      </c>
      <c r="AL39" s="108">
        <f t="shared" si="22"/>
        <v>1.3113937617893077</v>
      </c>
      <c r="AM39" s="108">
        <f t="shared" si="22"/>
        <v>1.2187645626443049</v>
      </c>
      <c r="BI39">
        <f t="shared" si="31"/>
        <v>1988</v>
      </c>
      <c r="BJ39">
        <v>13042.115484022981</v>
      </c>
    </row>
    <row r="40" spans="6:62" x14ac:dyDescent="0.2">
      <c r="F40" t="str">
        <f t="shared" si="23"/>
        <v>333</v>
      </c>
      <c r="G40">
        <f>1</f>
        <v>1</v>
      </c>
      <c r="H40">
        <f t="shared" si="24"/>
        <v>1.0518727791705282</v>
      </c>
      <c r="I40">
        <f t="shared" si="25"/>
        <v>1.010728701456775</v>
      </c>
      <c r="J40">
        <v>1</v>
      </c>
      <c r="K40">
        <f t="shared" si="5"/>
        <v>1.0409740201837794</v>
      </c>
      <c r="L40">
        <f t="shared" si="6"/>
        <v>0.9898984797269611</v>
      </c>
      <c r="M40">
        <v>1</v>
      </c>
      <c r="N40">
        <f t="shared" si="27"/>
        <v>0.94491344526898979</v>
      </c>
      <c r="O40">
        <f t="shared" si="28"/>
        <v>0.95545161192107597</v>
      </c>
      <c r="P40">
        <v>1</v>
      </c>
      <c r="Q40">
        <f t="shared" si="7"/>
        <v>1.1134772803275315</v>
      </c>
      <c r="R40">
        <f t="shared" si="8"/>
        <v>0.98014789855687312</v>
      </c>
      <c r="S40">
        <f t="shared" si="9"/>
        <v>0.91856277086985572</v>
      </c>
      <c r="T40">
        <v>1</v>
      </c>
      <c r="U40">
        <f t="shared" si="29"/>
        <v>1.1185857466673768</v>
      </c>
      <c r="V40">
        <f t="shared" si="30"/>
        <v>1.0173241691049186</v>
      </c>
      <c r="W40">
        <f t="shared" si="12"/>
        <v>1.0315513647841406</v>
      </c>
      <c r="X40">
        <v>1</v>
      </c>
      <c r="Y40">
        <f t="shared" si="13"/>
        <v>0.84356098092728093</v>
      </c>
      <c r="Z40">
        <f t="shared" si="14"/>
        <v>0.8668662593243498</v>
      </c>
      <c r="AA40">
        <f t="shared" si="15"/>
        <v>0.87210217886302643</v>
      </c>
      <c r="AB40">
        <v>1</v>
      </c>
      <c r="AC40">
        <f t="shared" si="16"/>
        <v>1.1188374843428492</v>
      </c>
      <c r="AD40">
        <f t="shared" si="17"/>
        <v>0.91972102845818093</v>
      </c>
      <c r="AE40">
        <f t="shared" si="18"/>
        <v>1.0727646030874114</v>
      </c>
      <c r="AF40">
        <v>1</v>
      </c>
      <c r="AG40">
        <f t="shared" si="19"/>
        <v>1.1051009961711542</v>
      </c>
      <c r="AH40">
        <f t="shared" si="20"/>
        <v>1.0281177413325195</v>
      </c>
      <c r="AI40">
        <f t="shared" si="21"/>
        <v>1.0322389478243972</v>
      </c>
      <c r="AJ40">
        <v>1</v>
      </c>
      <c r="AK40" s="108">
        <f t="shared" si="26"/>
        <v>1.0858334372756047</v>
      </c>
      <c r="AL40" s="108">
        <f t="shared" si="22"/>
        <v>1.1374719791121728</v>
      </c>
      <c r="AM40" s="108">
        <f t="shared" si="22"/>
        <v>1.1176871808324684</v>
      </c>
      <c r="BI40">
        <f t="shared" si="31"/>
        <v>1989</v>
      </c>
      <c r="BJ40">
        <v>13031.66415840178</v>
      </c>
    </row>
    <row r="41" spans="6:62" x14ac:dyDescent="0.2">
      <c r="F41" t="str">
        <f t="shared" si="23"/>
        <v>334</v>
      </c>
      <c r="G41">
        <f>1</f>
        <v>1</v>
      </c>
      <c r="H41">
        <f t="shared" si="24"/>
        <v>0.98912314119963385</v>
      </c>
      <c r="I41">
        <f t="shared" si="25"/>
        <v>1.0052438745485512</v>
      </c>
      <c r="J41">
        <v>1</v>
      </c>
      <c r="K41">
        <f t="shared" si="5"/>
        <v>1.0353380386850217</v>
      </c>
      <c r="L41">
        <f t="shared" si="6"/>
        <v>0.99673333362208794</v>
      </c>
      <c r="M41">
        <v>1</v>
      </c>
      <c r="N41">
        <f t="shared" si="27"/>
        <v>1.007834383128426</v>
      </c>
      <c r="O41">
        <f t="shared" si="28"/>
        <v>1.0188418228808231</v>
      </c>
      <c r="P41">
        <v>1</v>
      </c>
      <c r="Q41">
        <f t="shared" si="7"/>
        <v>1.087670101630855</v>
      </c>
      <c r="R41">
        <f t="shared" si="8"/>
        <v>1.0694198301761764</v>
      </c>
      <c r="S41">
        <f t="shared" si="9"/>
        <v>0.97079884989141507</v>
      </c>
      <c r="T41">
        <v>1</v>
      </c>
      <c r="U41">
        <f t="shared" si="29"/>
        <v>1.1066286422513321</v>
      </c>
      <c r="V41">
        <f t="shared" si="30"/>
        <v>1.1325541040742078</v>
      </c>
      <c r="W41">
        <f t="shared" si="12"/>
        <v>0.94948482987155514</v>
      </c>
      <c r="X41">
        <v>1</v>
      </c>
      <c r="Y41">
        <f t="shared" si="13"/>
        <v>0.81658133426716362</v>
      </c>
      <c r="Z41">
        <f t="shared" si="14"/>
        <v>0.73293315516703483</v>
      </c>
      <c r="AA41">
        <f t="shared" si="15"/>
        <v>0.80810946348779089</v>
      </c>
      <c r="AB41">
        <v>1</v>
      </c>
      <c r="AC41">
        <f t="shared" si="16"/>
        <v>1.2865813448860692</v>
      </c>
      <c r="AD41">
        <f t="shared" si="17"/>
        <v>0.96972626136731976</v>
      </c>
      <c r="AE41">
        <f t="shared" si="18"/>
        <v>0.98443088443432725</v>
      </c>
      <c r="AF41">
        <v>1</v>
      </c>
      <c r="AG41">
        <f t="shared" si="19"/>
        <v>1.0998694885044538</v>
      </c>
      <c r="AH41">
        <f t="shared" si="20"/>
        <v>1.1310062730132449</v>
      </c>
      <c r="AI41">
        <f t="shared" si="21"/>
        <v>1.0328493193701871</v>
      </c>
      <c r="AJ41">
        <v>1</v>
      </c>
      <c r="AK41" s="108">
        <f t="shared" si="26"/>
        <v>1.3478856478771561</v>
      </c>
      <c r="AL41" s="108">
        <f t="shared" si="22"/>
        <v>1.5629691318886159</v>
      </c>
      <c r="AM41" s="108">
        <f t="shared" si="22"/>
        <v>2.3001336110744885</v>
      </c>
      <c r="BI41">
        <f t="shared" si="31"/>
        <v>1990</v>
      </c>
      <c r="BJ41">
        <v>13045.831639619726</v>
      </c>
    </row>
    <row r="42" spans="6:62" x14ac:dyDescent="0.2">
      <c r="F42" t="str">
        <f t="shared" si="23"/>
        <v>335</v>
      </c>
      <c r="G42">
        <f>1</f>
        <v>1</v>
      </c>
      <c r="H42">
        <f t="shared" si="24"/>
        <v>1.1017494155124441</v>
      </c>
      <c r="I42">
        <f t="shared" si="25"/>
        <v>1.0522496725846422</v>
      </c>
      <c r="J42">
        <v>1</v>
      </c>
      <c r="K42">
        <f t="shared" si="5"/>
        <v>1.0550148952259861</v>
      </c>
      <c r="L42">
        <f t="shared" si="6"/>
        <v>0.98996832984738703</v>
      </c>
      <c r="M42">
        <v>1</v>
      </c>
      <c r="N42">
        <f t="shared" si="27"/>
        <v>0.95951995915953447</v>
      </c>
      <c r="O42">
        <f t="shared" si="28"/>
        <v>0.98241979588676431</v>
      </c>
      <c r="P42">
        <v>1</v>
      </c>
      <c r="Q42">
        <f t="shared" si="7"/>
        <v>1.1786797551246699</v>
      </c>
      <c r="R42">
        <f t="shared" si="8"/>
        <v>1.0498034398991469</v>
      </c>
      <c r="S42">
        <f t="shared" si="9"/>
        <v>0.94210077156322347</v>
      </c>
      <c r="T42">
        <v>1</v>
      </c>
      <c r="U42">
        <f t="shared" si="29"/>
        <v>1.1236758149810488</v>
      </c>
      <c r="V42">
        <f t="shared" si="30"/>
        <v>1.0467007175851164</v>
      </c>
      <c r="W42">
        <f t="shared" si="12"/>
        <v>1.0051755183546636</v>
      </c>
      <c r="X42">
        <v>1</v>
      </c>
      <c r="Y42">
        <f t="shared" si="13"/>
        <v>0.87970248500076376</v>
      </c>
      <c r="Z42">
        <f t="shared" si="14"/>
        <v>0.82278037001419946</v>
      </c>
      <c r="AA42">
        <f t="shared" si="15"/>
        <v>0.85848057255670174</v>
      </c>
      <c r="AB42">
        <v>1</v>
      </c>
      <c r="AC42">
        <f t="shared" si="16"/>
        <v>1.0956990907765367</v>
      </c>
      <c r="AD42">
        <f t="shared" si="17"/>
        <v>0.91618821478351653</v>
      </c>
      <c r="AE42">
        <f t="shared" si="18"/>
        <v>0.91928846396249708</v>
      </c>
      <c r="AF42">
        <v>1</v>
      </c>
      <c r="AG42">
        <f t="shared" si="19"/>
        <v>1.0343282265159996</v>
      </c>
      <c r="AH42">
        <f t="shared" si="20"/>
        <v>0.96005595473588845</v>
      </c>
      <c r="AI42">
        <f t="shared" si="21"/>
        <v>0.8646124062157764</v>
      </c>
      <c r="AJ42">
        <v>1</v>
      </c>
      <c r="AK42" s="108">
        <f t="shared" si="26"/>
        <v>1.1812006956175853</v>
      </c>
      <c r="AL42" s="108">
        <f t="shared" si="22"/>
        <v>1.3066002984761826</v>
      </c>
      <c r="AM42" s="108">
        <f t="shared" si="22"/>
        <v>1.2183266069320089</v>
      </c>
      <c r="BI42">
        <f t="shared" si="31"/>
        <v>1991</v>
      </c>
      <c r="BJ42">
        <v>12599.548369464048</v>
      </c>
    </row>
    <row r="43" spans="6:62" x14ac:dyDescent="0.2">
      <c r="F43" t="str">
        <f t="shared" si="23"/>
        <v>336</v>
      </c>
      <c r="G43">
        <f>1</f>
        <v>1</v>
      </c>
      <c r="H43">
        <f t="shared" si="24"/>
        <v>1.0109109673753252</v>
      </c>
      <c r="I43">
        <f t="shared" si="25"/>
        <v>0.97637288448352044</v>
      </c>
      <c r="J43">
        <v>1</v>
      </c>
      <c r="K43">
        <f t="shared" si="5"/>
        <v>0.99952797211653821</v>
      </c>
      <c r="L43">
        <f t="shared" si="6"/>
        <v>0.95834004945889484</v>
      </c>
      <c r="M43">
        <v>1</v>
      </c>
      <c r="N43">
        <f t="shared" si="27"/>
        <v>1.014559495174731</v>
      </c>
      <c r="O43">
        <f t="shared" si="28"/>
        <v>1.1045470498701075</v>
      </c>
      <c r="P43">
        <v>1</v>
      </c>
      <c r="Q43">
        <f t="shared" si="7"/>
        <v>1.0374653762373209</v>
      </c>
      <c r="R43">
        <f t="shared" si="8"/>
        <v>0.94103534850398862</v>
      </c>
      <c r="S43">
        <f t="shared" si="9"/>
        <v>0.90728663466460879</v>
      </c>
      <c r="T43">
        <v>1</v>
      </c>
      <c r="U43">
        <f t="shared" si="29"/>
        <v>0.97932741905027088</v>
      </c>
      <c r="V43">
        <f t="shared" si="30"/>
        <v>0.90679763286172854</v>
      </c>
      <c r="W43">
        <f t="shared" si="12"/>
        <v>0.98191020080173352</v>
      </c>
      <c r="X43">
        <v>1</v>
      </c>
      <c r="Y43">
        <f t="shared" si="13"/>
        <v>0.88547300139941765</v>
      </c>
      <c r="Z43">
        <f t="shared" si="14"/>
        <v>0.90260602887992536</v>
      </c>
      <c r="AA43">
        <f t="shared" si="15"/>
        <v>0.85322580222071243</v>
      </c>
      <c r="AB43">
        <v>1</v>
      </c>
      <c r="AC43">
        <f t="shared" si="16"/>
        <v>1.0290324494495502</v>
      </c>
      <c r="AD43">
        <f t="shared" si="17"/>
        <v>0.83394197730848574</v>
      </c>
      <c r="AE43">
        <f t="shared" si="18"/>
        <v>0.96716626928151961</v>
      </c>
      <c r="AF43">
        <v>1</v>
      </c>
      <c r="AG43">
        <f t="shared" si="19"/>
        <v>1.0180101607199032</v>
      </c>
      <c r="AH43">
        <f t="shared" si="20"/>
        <v>0.96092414244095292</v>
      </c>
      <c r="AI43">
        <f t="shared" si="21"/>
        <v>0.96093882330227454</v>
      </c>
      <c r="AJ43">
        <v>1</v>
      </c>
      <c r="AK43" s="108">
        <f t="shared" si="26"/>
        <v>1.1943383233355014</v>
      </c>
      <c r="AL43" s="108">
        <f t="shared" si="22"/>
        <v>1.2713119229075285</v>
      </c>
      <c r="AM43" s="108">
        <f t="shared" si="22"/>
        <v>1.0964285850807933</v>
      </c>
      <c r="BI43">
        <f t="shared" si="31"/>
        <v>1992</v>
      </c>
      <c r="BJ43">
        <v>12897.065482770506</v>
      </c>
    </row>
    <row r="44" spans="6:62" x14ac:dyDescent="0.2">
      <c r="F44" t="str">
        <f t="shared" si="23"/>
        <v>337</v>
      </c>
      <c r="G44">
        <f>1</f>
        <v>1</v>
      </c>
      <c r="H44">
        <f t="shared" si="24"/>
        <v>1.0459248335413982</v>
      </c>
      <c r="I44">
        <f t="shared" si="25"/>
        <v>1.044839069963615</v>
      </c>
      <c r="J44">
        <v>1</v>
      </c>
      <c r="K44">
        <f t="shared" si="5"/>
        <v>1.0736746219841815</v>
      </c>
      <c r="L44">
        <f t="shared" si="6"/>
        <v>0.98223265889490607</v>
      </c>
      <c r="M44">
        <v>1</v>
      </c>
      <c r="N44">
        <f t="shared" si="27"/>
        <v>0.99248148625881483</v>
      </c>
      <c r="O44">
        <f t="shared" si="28"/>
        <v>1.0111956584249273</v>
      </c>
      <c r="P44">
        <v>1</v>
      </c>
      <c r="Q44">
        <f t="shared" si="7"/>
        <v>1.0978527270792535</v>
      </c>
      <c r="R44">
        <f t="shared" si="8"/>
        <v>0.96465917302820603</v>
      </c>
      <c r="S44">
        <f t="shared" si="9"/>
        <v>0.92740950440519621</v>
      </c>
      <c r="T44">
        <v>1</v>
      </c>
      <c r="U44">
        <f t="shared" si="29"/>
        <v>1.1288543424379425</v>
      </c>
      <c r="V44">
        <f t="shared" si="30"/>
        <v>1.0270607111564489</v>
      </c>
      <c r="W44">
        <f t="shared" si="12"/>
        <v>0.97838974531290468</v>
      </c>
      <c r="X44">
        <v>1</v>
      </c>
      <c r="Y44">
        <f t="shared" si="13"/>
        <v>0.81136026309653841</v>
      </c>
      <c r="Z44">
        <f t="shared" si="14"/>
        <v>0.84604185434975765</v>
      </c>
      <c r="AA44">
        <f t="shared" si="15"/>
        <v>0.84388806515246928</v>
      </c>
      <c r="AB44">
        <v>1</v>
      </c>
      <c r="AC44">
        <f t="shared" si="16"/>
        <v>1.0641673643659659</v>
      </c>
      <c r="AD44">
        <f t="shared" si="17"/>
        <v>0.92450507482484956</v>
      </c>
      <c r="AE44">
        <f t="shared" si="18"/>
        <v>1.0457674380097481</v>
      </c>
      <c r="AF44">
        <v>1</v>
      </c>
      <c r="AG44">
        <f t="shared" si="19"/>
        <v>0.9929371087325396</v>
      </c>
      <c r="AH44">
        <f t="shared" si="20"/>
        <v>1.0672010925260227</v>
      </c>
      <c r="AI44">
        <f t="shared" si="21"/>
        <v>0.99307083987059508</v>
      </c>
      <c r="AJ44">
        <v>1</v>
      </c>
      <c r="AK44" s="108">
        <f t="shared" si="26"/>
        <v>1.515273054566068</v>
      </c>
      <c r="AL44" s="108">
        <f t="shared" ref="AL44:AL45" si="32">AQ22/$AO22</f>
        <v>1.6564433735897912</v>
      </c>
      <c r="AM44" s="108">
        <f t="shared" ref="AM44:AM45" si="33">AR22/$AO22</f>
        <v>1.4471611003765026</v>
      </c>
      <c r="BI44">
        <f t="shared" si="31"/>
        <v>1993</v>
      </c>
      <c r="BJ44">
        <v>13805.083603961704</v>
      </c>
    </row>
    <row r="45" spans="6:62" x14ac:dyDescent="0.2">
      <c r="F45" t="str">
        <f t="shared" si="23"/>
        <v>339</v>
      </c>
      <c r="G45">
        <f>1</f>
        <v>1</v>
      </c>
      <c r="H45">
        <f t="shared" si="24"/>
        <v>1.0516549490135938</v>
      </c>
      <c r="I45">
        <f t="shared" si="25"/>
        <v>1.0407380847073713</v>
      </c>
      <c r="J45">
        <v>1</v>
      </c>
      <c r="K45">
        <f t="shared" si="5"/>
        <v>0.98229298647477381</v>
      </c>
      <c r="L45">
        <f t="shared" si="6"/>
        <v>1.0100852342423607</v>
      </c>
      <c r="M45">
        <v>1</v>
      </c>
      <c r="N45">
        <f t="shared" si="27"/>
        <v>0.98903905234020484</v>
      </c>
      <c r="O45">
        <f t="shared" si="28"/>
        <v>0.99441237807672478</v>
      </c>
      <c r="P45">
        <v>1</v>
      </c>
      <c r="Q45">
        <f t="shared" si="7"/>
        <v>1.1202195766982237</v>
      </c>
      <c r="R45">
        <f t="shared" si="8"/>
        <v>0.91992044158182729</v>
      </c>
      <c r="S45">
        <f t="shared" si="9"/>
        <v>0.88404372320595748</v>
      </c>
      <c r="T45">
        <v>1</v>
      </c>
      <c r="U45">
        <f t="shared" si="29"/>
        <v>1.0462999608825299</v>
      </c>
      <c r="V45">
        <f t="shared" si="30"/>
        <v>0.91473776282873842</v>
      </c>
      <c r="W45">
        <f t="shared" si="12"/>
        <v>0.85949389375089169</v>
      </c>
      <c r="X45">
        <v>1</v>
      </c>
      <c r="Y45">
        <f t="shared" si="13"/>
        <v>0.86806998130231139</v>
      </c>
      <c r="Z45">
        <f t="shared" si="14"/>
        <v>0.83659517255596672</v>
      </c>
      <c r="AA45">
        <f t="shared" si="15"/>
        <v>0.8233661009908243</v>
      </c>
      <c r="AB45">
        <v>1</v>
      </c>
      <c r="AC45">
        <f t="shared" si="16"/>
        <v>1.098387102669977</v>
      </c>
      <c r="AD45">
        <f t="shared" si="17"/>
        <v>0.82462332438296959</v>
      </c>
      <c r="AE45">
        <f t="shared" si="18"/>
        <v>1.0728427745075062</v>
      </c>
      <c r="AF45">
        <v>1</v>
      </c>
      <c r="AG45">
        <f t="shared" si="19"/>
        <v>1.0224500150647646</v>
      </c>
      <c r="AH45">
        <f t="shared" si="20"/>
        <v>1.0169431437055814</v>
      </c>
      <c r="AI45">
        <f t="shared" si="21"/>
        <v>1.0937560749211186</v>
      </c>
      <c r="AJ45">
        <v>1</v>
      </c>
      <c r="AK45" s="108">
        <f t="shared" si="26"/>
        <v>1.2275228165123055</v>
      </c>
      <c r="AL45" s="108">
        <f t="shared" si="32"/>
        <v>1.4004458956393031</v>
      </c>
      <c r="AM45" s="108">
        <f t="shared" si="33"/>
        <v>1.3908451394592563</v>
      </c>
      <c r="BI45">
        <f t="shared" si="31"/>
        <v>1994</v>
      </c>
      <c r="BJ45">
        <v>13805.955934019132</v>
      </c>
    </row>
    <row r="46" spans="6:62" x14ac:dyDescent="0.2">
      <c r="BI46">
        <f t="shared" si="31"/>
        <v>1995</v>
      </c>
      <c r="BJ46">
        <v>14100.248987193518</v>
      </c>
    </row>
    <row r="47" spans="6:62" x14ac:dyDescent="0.2">
      <c r="G47">
        <v>1985</v>
      </c>
      <c r="H47" s="31">
        <f>G47+1</f>
        <v>1986</v>
      </c>
      <c r="I47" s="31">
        <f t="shared" ref="I47:AD47" si="34">H47+1</f>
        <v>1987</v>
      </c>
      <c r="J47" s="31">
        <f t="shared" si="34"/>
        <v>1988</v>
      </c>
      <c r="K47" s="31">
        <f t="shared" si="34"/>
        <v>1989</v>
      </c>
      <c r="L47" s="31">
        <f t="shared" si="34"/>
        <v>1990</v>
      </c>
      <c r="M47" s="31">
        <f t="shared" si="34"/>
        <v>1991</v>
      </c>
      <c r="N47" s="31">
        <f t="shared" si="34"/>
        <v>1992</v>
      </c>
      <c r="O47" s="31">
        <f t="shared" si="34"/>
        <v>1993</v>
      </c>
      <c r="P47" s="31">
        <f t="shared" si="34"/>
        <v>1994</v>
      </c>
      <c r="Q47" s="31">
        <f t="shared" si="34"/>
        <v>1995</v>
      </c>
      <c r="R47" s="31">
        <f t="shared" si="34"/>
        <v>1996</v>
      </c>
      <c r="S47" s="31">
        <f t="shared" si="34"/>
        <v>1997</v>
      </c>
      <c r="T47" s="31">
        <f t="shared" si="34"/>
        <v>1998</v>
      </c>
      <c r="U47" s="31">
        <f t="shared" si="34"/>
        <v>1999</v>
      </c>
      <c r="V47" s="31">
        <f t="shared" si="34"/>
        <v>2000</v>
      </c>
      <c r="W47" s="31">
        <f t="shared" si="34"/>
        <v>2001</v>
      </c>
      <c r="X47" s="31">
        <f t="shared" si="34"/>
        <v>2002</v>
      </c>
      <c r="Y47" s="31">
        <f t="shared" si="34"/>
        <v>2003</v>
      </c>
      <c r="Z47" s="31">
        <f t="shared" si="34"/>
        <v>2004</v>
      </c>
      <c r="AA47" s="31">
        <f t="shared" si="34"/>
        <v>2005</v>
      </c>
      <c r="AB47" s="31">
        <f t="shared" si="34"/>
        <v>2006</v>
      </c>
      <c r="AC47" s="31">
        <f t="shared" si="34"/>
        <v>2007</v>
      </c>
      <c r="AD47" s="31">
        <f t="shared" si="34"/>
        <v>2008</v>
      </c>
      <c r="AE47" s="31">
        <f>AD47+1</f>
        <v>2009</v>
      </c>
      <c r="AF47" s="31">
        <f>AE47+1</f>
        <v>2010</v>
      </c>
      <c r="BI47">
        <f t="shared" si="31"/>
        <v>1996</v>
      </c>
      <c r="BJ47">
        <v>13825.46659221253</v>
      </c>
    </row>
    <row r="48" spans="6:62" x14ac:dyDescent="0.2">
      <c r="G48" t="s">
        <v>59</v>
      </c>
      <c r="J48" t="s">
        <v>59</v>
      </c>
      <c r="BI48">
        <f t="shared" si="31"/>
        <v>1997</v>
      </c>
      <c r="BJ48">
        <v>13443.556830524347</v>
      </c>
    </row>
    <row r="49" spans="4:62" x14ac:dyDescent="0.2">
      <c r="D49" s="52" t="s">
        <v>274</v>
      </c>
      <c r="F49" t="str">
        <f>F26</f>
        <v>Interpolation ratios</v>
      </c>
      <c r="G49">
        <f>1</f>
        <v>1</v>
      </c>
      <c r="H49" s="37">
        <f>H28*(AVERAGE(G49,J49))</f>
        <v>1.0298522160555978</v>
      </c>
      <c r="I49" s="37">
        <f>I28*(AVERAGE(G49,J49))</f>
        <v>0.99345010681405732</v>
      </c>
      <c r="J49">
        <v>1</v>
      </c>
      <c r="K49">
        <f>K28*(0.67*J49+0.33*M49)</f>
        <v>2.0243505780876312</v>
      </c>
      <c r="L49">
        <f>L28*(0.33*J49+0.67*M49)</f>
        <v>2.9314263797714508</v>
      </c>
      <c r="M49">
        <v>4</v>
      </c>
      <c r="N49">
        <f>N28*(AVERAGE(M49,P49))</f>
        <v>2.4668337885032328</v>
      </c>
      <c r="O49">
        <f>O28*(AVERAGE(M49,P49))</f>
        <v>2.4570782920493364</v>
      </c>
      <c r="P49">
        <v>1</v>
      </c>
      <c r="Q49">
        <f>Q28*(0.75*P49+0.25*T49)</f>
        <v>1.0120082977711273</v>
      </c>
      <c r="R49">
        <f>R28*(0.5*P49+0.5*T49)</f>
        <v>0.89978872072351257</v>
      </c>
      <c r="S49">
        <f>S28*(0.25*P49+0.75*T49)</f>
        <v>0.92494590538993915</v>
      </c>
      <c r="T49">
        <v>1</v>
      </c>
      <c r="U49">
        <f>U28*(0.75*T49+0.25*X49)</f>
        <v>1.0089967811798619</v>
      </c>
      <c r="V49">
        <f>V28*(0.5*T49+0.5*X49)</f>
        <v>0.94830121177520732</v>
      </c>
      <c r="W49">
        <f>W28*(0.25*T49+0.75*X49)</f>
        <v>1.0863546892602309</v>
      </c>
      <c r="X49">
        <v>1</v>
      </c>
      <c r="Y49">
        <f>Y28*(0.75*X49+0.25*AB49)</f>
        <v>0.93027754185901834</v>
      </c>
      <c r="Z49">
        <f>Z28*(0.5*X49+0.5*AB49)</f>
        <v>0.8867375352801723</v>
      </c>
      <c r="AA49">
        <f>AA28*(0.25*X49+0.75*AB49)</f>
        <v>0.88057081702045281</v>
      </c>
      <c r="AB49">
        <v>1</v>
      </c>
      <c r="AC49">
        <f>AC28/AB28</f>
        <v>1.0171569193043488</v>
      </c>
      <c r="AD49">
        <f>AD28/AB28</f>
        <v>0.92643065231651134</v>
      </c>
      <c r="BI49">
        <f t="shared" si="31"/>
        <v>1998</v>
      </c>
      <c r="BJ49">
        <v>14659.114711999997</v>
      </c>
    </row>
    <row r="50" spans="4:62" x14ac:dyDescent="0.2">
      <c r="G50">
        <f>G47</f>
        <v>1985</v>
      </c>
      <c r="H50">
        <f t="shared" ref="H50:AD50" si="35">H47</f>
        <v>1986</v>
      </c>
      <c r="I50">
        <f t="shared" si="35"/>
        <v>1987</v>
      </c>
      <c r="J50">
        <f t="shared" si="35"/>
        <v>1988</v>
      </c>
      <c r="K50">
        <f t="shared" si="35"/>
        <v>1989</v>
      </c>
      <c r="L50">
        <f t="shared" si="35"/>
        <v>1990</v>
      </c>
      <c r="M50">
        <f t="shared" si="35"/>
        <v>1991</v>
      </c>
      <c r="N50">
        <f t="shared" si="35"/>
        <v>1992</v>
      </c>
      <c r="O50">
        <f t="shared" si="35"/>
        <v>1993</v>
      </c>
      <c r="P50">
        <f t="shared" si="35"/>
        <v>1994</v>
      </c>
      <c r="Q50">
        <f t="shared" si="35"/>
        <v>1995</v>
      </c>
      <c r="R50">
        <f t="shared" si="35"/>
        <v>1996</v>
      </c>
      <c r="S50">
        <f t="shared" si="35"/>
        <v>1997</v>
      </c>
      <c r="T50">
        <f t="shared" si="35"/>
        <v>1998</v>
      </c>
      <c r="U50">
        <f t="shared" si="35"/>
        <v>1999</v>
      </c>
      <c r="V50">
        <f t="shared" si="35"/>
        <v>2000</v>
      </c>
      <c r="W50">
        <f t="shared" si="35"/>
        <v>2001</v>
      </c>
      <c r="X50">
        <f t="shared" si="35"/>
        <v>2002</v>
      </c>
      <c r="Y50">
        <f t="shared" si="35"/>
        <v>2003</v>
      </c>
      <c r="Z50">
        <f t="shared" si="35"/>
        <v>2004</v>
      </c>
      <c r="AA50">
        <f t="shared" si="35"/>
        <v>2005</v>
      </c>
      <c r="AB50">
        <f t="shared" si="35"/>
        <v>2006</v>
      </c>
      <c r="AC50">
        <f t="shared" si="35"/>
        <v>2007</v>
      </c>
      <c r="AD50">
        <f t="shared" si="35"/>
        <v>2008</v>
      </c>
      <c r="AE50">
        <f>AE47</f>
        <v>2009</v>
      </c>
      <c r="AF50">
        <f>AF47</f>
        <v>2010</v>
      </c>
      <c r="AG50">
        <v>2011</v>
      </c>
      <c r="AH50">
        <v>2012</v>
      </c>
      <c r="AI50">
        <v>2013</v>
      </c>
      <c r="AJ50">
        <v>2014</v>
      </c>
      <c r="AK50">
        <v>2015</v>
      </c>
      <c r="AL50">
        <v>2016</v>
      </c>
      <c r="AM50">
        <v>2017</v>
      </c>
      <c r="BI50">
        <f t="shared" si="31"/>
        <v>1999</v>
      </c>
      <c r="BJ50">
        <v>15107.987323717851</v>
      </c>
    </row>
    <row r="51" spans="4:62" x14ac:dyDescent="0.2">
      <c r="F51" t="str">
        <f>F28</f>
        <v>311-312</v>
      </c>
      <c r="G51">
        <f>MECS_Fuel!E244</f>
        <v>814.40918409036976</v>
      </c>
      <c r="H51" s="37">
        <f t="shared" ref="H51:H68" si="36">H28*(0.67*G51+0.33*J51)</f>
        <v>851.19749953824692</v>
      </c>
      <c r="I51" s="37">
        <f t="shared" ref="I51:I68" si="37">I28*(0.33*G51+0.67*J51)</f>
        <v>833.51038838632076</v>
      </c>
      <c r="J51">
        <f>MECS_Fuel!F244</f>
        <v>851.12053122624513</v>
      </c>
      <c r="K51" s="37">
        <f t="shared" ref="K51:K68" si="38">K28*(0.67*J51+0.33*M51)</f>
        <v>851.8988327684732</v>
      </c>
      <c r="L51" s="37">
        <f t="shared" ref="L51:L68" si="39">L28*(0.33*J51+0.67*M51)</f>
        <v>801.85853040559095</v>
      </c>
      <c r="M51">
        <f>MECS_Fuel!G244</f>
        <v>809.67414956814787</v>
      </c>
      <c r="N51" s="37">
        <f t="shared" ref="N51:N68" si="40">N28*(0.67*M51+0.33*P51)</f>
        <v>863.70158393200757</v>
      </c>
      <c r="O51" s="37">
        <f t="shared" ref="O51:O68" si="41">O28*(0.33*M51+0.67*P51)</f>
        <v>926.75369383250984</v>
      </c>
      <c r="P51">
        <f>MECS_Fuel!H244</f>
        <v>1008.5825527109854</v>
      </c>
      <c r="Q51" s="37">
        <f t="shared" ref="Q51:Q68" si="42">Q28*(0.75*P51+0.25*T51)</f>
        <v>996.91523388203518</v>
      </c>
      <c r="R51" s="37">
        <f t="shared" ref="R51:R68" si="43">R28*(0.5*P51+0.5*T51)</f>
        <v>865.22738818560777</v>
      </c>
      <c r="S51" s="37">
        <f t="shared" ref="S51:S68" si="44">S28*(0.25*P51+0.75*T51)</f>
        <v>867.68525811561415</v>
      </c>
      <c r="T51">
        <f>MECS_Fuel!I244</f>
        <v>914.596452</v>
      </c>
      <c r="U51" s="37">
        <f t="shared" ref="U51:U68" si="45">U28*(0.75*T51+0.25*X51)</f>
        <v>935.17439841307237</v>
      </c>
      <c r="V51" s="37">
        <f t="shared" ref="V51:V68" si="46">V28*(0.5*T51+0.5*X51)</f>
        <v>890.52621269592521</v>
      </c>
      <c r="W51" s="37">
        <f t="shared" ref="W51:W68" si="47">W28*(0.25*T51+0.75*X51)</f>
        <v>1033.4651559756132</v>
      </c>
      <c r="X51">
        <f>MECS_Fuel!J244</f>
        <v>963.55408</v>
      </c>
      <c r="Y51" s="37">
        <f t="shared" ref="Y51:Y68" si="48">Y28*(0.75*X51+0.25*AB51)</f>
        <v>908.1512310074819</v>
      </c>
      <c r="Z51" s="37">
        <f t="shared" ref="Z51:Z68" si="49">Z28*(0.5*X51+0.5*AB51)</f>
        <v>876.87404509058865</v>
      </c>
      <c r="AA51" s="37">
        <f t="shared" ref="AA51:AA68" si="50">AA28*(0.25*X51+0.75*AB51)</f>
        <v>881.92508034163961</v>
      </c>
      <c r="AB51" s="18">
        <f>MECS_Fuel!K244</f>
        <v>1014.1992240000001</v>
      </c>
      <c r="AC51" s="37">
        <f>AC28*(0.75*AB51+0.25*AF51)</f>
        <v>1017.3089008569175</v>
      </c>
      <c r="AD51" s="37">
        <f>AD28*(0.5*AB51+0.5*AF51)</f>
        <v>913.55290679421876</v>
      </c>
      <c r="AE51" s="37">
        <f>AE28*(0.25*AB51+0.75*AF51)</f>
        <v>1082.0437976266057</v>
      </c>
      <c r="AF51">
        <f>MECS_Fuel!L244</f>
        <v>958</v>
      </c>
      <c r="AG51" s="37">
        <f>AG28*(0.75*AF51+0.25*AJ51)</f>
        <v>962.5869918448409</v>
      </c>
      <c r="AH51" s="37">
        <f>AH28*(0.5*AF51+0.5*AJ51)</f>
        <v>905.23015078882304</v>
      </c>
      <c r="AI51" s="37">
        <f>AI28*(0.25*AF51+0.75*AJ51)</f>
        <v>938.49143969789179</v>
      </c>
      <c r="AJ51">
        <f>MECS_Fuel!M244</f>
        <v>929</v>
      </c>
      <c r="AK51" s="5">
        <f>$AJ51*AK28</f>
        <v>1030.630146776351</v>
      </c>
      <c r="AL51" s="5">
        <f t="shared" ref="AL51:AM51" si="51">$AJ51*AL28</f>
        <v>1061.6998274548725</v>
      </c>
      <c r="AM51" s="5">
        <f t="shared" si="51"/>
        <v>971.69780095161491</v>
      </c>
      <c r="BI51">
        <f t="shared" si="31"/>
        <v>2000</v>
      </c>
      <c r="BJ51">
        <v>14949.547628319633</v>
      </c>
    </row>
    <row r="52" spans="4:62" x14ac:dyDescent="0.2">
      <c r="F52" t="str">
        <f t="shared" ref="F52:F68" si="52">F29</f>
        <v>313-314</v>
      </c>
      <c r="G52">
        <f>MECS_Fuel!E245</f>
        <v>156.1414043262503</v>
      </c>
      <c r="H52" s="37">
        <f t="shared" si="36"/>
        <v>167.34431376858677</v>
      </c>
      <c r="I52" s="37">
        <f t="shared" si="37"/>
        <v>172.60133796131427</v>
      </c>
      <c r="J52">
        <f>MECS_Fuel!F245</f>
        <v>168.48905994885055</v>
      </c>
      <c r="K52" s="37">
        <f t="shared" si="38"/>
        <v>167.44427557233792</v>
      </c>
      <c r="L52" s="37">
        <f t="shared" si="39"/>
        <v>155.89053627343949</v>
      </c>
      <c r="M52">
        <f>MECS_Fuel!G245</f>
        <v>167.22964134569051</v>
      </c>
      <c r="N52" s="37">
        <f t="shared" si="40"/>
        <v>171.780636136151</v>
      </c>
      <c r="O52" s="37">
        <f t="shared" si="41"/>
        <v>179.66474753861871</v>
      </c>
      <c r="P52">
        <f>MECS_Fuel!H245</f>
        <v>192.94392268146368</v>
      </c>
      <c r="Q52" s="37">
        <f t="shared" si="42"/>
        <v>190.8904946076554</v>
      </c>
      <c r="R52" s="37">
        <f t="shared" si="43"/>
        <v>167.09700979934172</v>
      </c>
      <c r="S52" s="37">
        <f t="shared" si="44"/>
        <v>170.57022786370626</v>
      </c>
      <c r="T52">
        <f>MECS_Fuel!I245</f>
        <v>183.883668</v>
      </c>
      <c r="U52" s="37">
        <f t="shared" si="45"/>
        <v>187.31181548387343</v>
      </c>
      <c r="V52" s="37">
        <f t="shared" si="46"/>
        <v>156.99410743381722</v>
      </c>
      <c r="W52" s="37">
        <f t="shared" si="47"/>
        <v>156.54886822367064</v>
      </c>
      <c r="X52">
        <f>MECS_Fuel!J245</f>
        <v>161.77534800000001</v>
      </c>
      <c r="Y52" s="37">
        <f t="shared" si="48"/>
        <v>144.82060676734446</v>
      </c>
      <c r="Z52" s="37">
        <f t="shared" si="49"/>
        <v>150.15509141889578</v>
      </c>
      <c r="AA52" s="37">
        <f t="shared" si="50"/>
        <v>157.5923565830285</v>
      </c>
      <c r="AB52" s="18">
        <f>MECS_Fuel!K245</f>
        <v>164.407712</v>
      </c>
      <c r="AC52" s="37">
        <f t="shared" ref="AC52:AC68" si="53">AC29*(0.75*AB52+0.25*AF52)</f>
        <v>117.72476201119797</v>
      </c>
      <c r="AD52" s="37">
        <f t="shared" ref="AD52:AD68" si="54">AD29*(0.5*AB52+0.5*AF52)</f>
        <v>100.10391940983209</v>
      </c>
      <c r="AE52" s="37">
        <f t="shared" ref="AE52:AE68" si="55">AE29*(0.25*AB52+0.75*AF52)</f>
        <v>92.386077520771678</v>
      </c>
      <c r="AF52">
        <f>MECS_Fuel!L245</f>
        <v>62</v>
      </c>
      <c r="AG52" s="37">
        <f t="shared" ref="AG52:AG68" si="56">AG29*(0.75*AF52+0.25*AJ52)</f>
        <v>63.735355866562557</v>
      </c>
      <c r="AH52" s="37">
        <f t="shared" ref="AH52:AH68" si="57">AH29*(0.5*AF52+0.5*AJ52)</f>
        <v>65.232230776731996</v>
      </c>
      <c r="AI52" s="37">
        <f t="shared" ref="AI52:AI68" si="58">AI29*(0.25*AF52+0.75*AJ52)</f>
        <v>70.717952789685583</v>
      </c>
      <c r="AJ52">
        <f>MECS_Fuel!M245</f>
        <v>72</v>
      </c>
      <c r="AK52" s="5">
        <f t="shared" ref="AK52:AM68" si="59">$AJ52*AK29</f>
        <v>74.509049446669465</v>
      </c>
      <c r="AL52" s="5">
        <f t="shared" si="59"/>
        <v>78.338211968875697</v>
      </c>
      <c r="AM52" s="5">
        <f t="shared" si="59"/>
        <v>58.42197502449914</v>
      </c>
      <c r="BI52">
        <f t="shared" si="31"/>
        <v>2001</v>
      </c>
      <c r="BJ52">
        <v>14514.588606183477</v>
      </c>
    </row>
    <row r="53" spans="4:62" x14ac:dyDescent="0.2">
      <c r="F53" t="str">
        <f t="shared" si="52"/>
        <v>315-316</v>
      </c>
      <c r="G53">
        <f>MECS_Fuel!E246</f>
        <v>27.870927218965459</v>
      </c>
      <c r="H53" s="37">
        <f t="shared" si="36"/>
        <v>38.210686463826796</v>
      </c>
      <c r="I53" s="37">
        <f t="shared" si="37"/>
        <v>41.21594313846515</v>
      </c>
      <c r="J53">
        <f>MECS_Fuel!F246</f>
        <v>46.203934666809843</v>
      </c>
      <c r="K53" s="37">
        <f t="shared" si="38"/>
        <v>38.72494633334945</v>
      </c>
      <c r="L53" s="37">
        <f t="shared" si="39"/>
        <v>34.234269572907131</v>
      </c>
      <c r="M53">
        <f>MECS_Fuel!G246</f>
        <v>36.963147733447869</v>
      </c>
      <c r="N53" s="37">
        <f t="shared" si="40"/>
        <v>37.95122991416855</v>
      </c>
      <c r="O53" s="37">
        <f t="shared" si="41"/>
        <v>38.969253979153493</v>
      </c>
      <c r="P53">
        <f>MECS_Fuel!H246</f>
        <v>39.957336159874167</v>
      </c>
      <c r="Q53" s="37">
        <f t="shared" si="42"/>
        <v>44.512636188125661</v>
      </c>
      <c r="R53" s="37">
        <f t="shared" si="43"/>
        <v>36.045490006918435</v>
      </c>
      <c r="S53" s="37">
        <f t="shared" si="44"/>
        <v>34.309579022565551</v>
      </c>
      <c r="T53">
        <f>MECS_Fuel!I246</f>
        <v>35.487055999999995</v>
      </c>
      <c r="U53" s="37">
        <f t="shared" si="45"/>
        <v>34.727399494976886</v>
      </c>
      <c r="V53" s="37">
        <f t="shared" si="46"/>
        <v>27.828729813053091</v>
      </c>
      <c r="W53" s="37">
        <f t="shared" si="47"/>
        <v>25.821803000550606</v>
      </c>
      <c r="X53">
        <f>MECS_Fuel!J246</f>
        <v>22.314752000000002</v>
      </c>
      <c r="Y53" s="37">
        <f t="shared" si="48"/>
        <v>13.370253732879473</v>
      </c>
      <c r="Z53" s="37">
        <f t="shared" si="49"/>
        <v>12.950620915309582</v>
      </c>
      <c r="AA53" s="37">
        <f t="shared" si="50"/>
        <v>10.444249462603306</v>
      </c>
      <c r="AB53" s="18">
        <f>MECS_Fuel!K246</f>
        <v>8.7224880000000002</v>
      </c>
      <c r="AC53" s="37">
        <f t="shared" si="53"/>
        <v>5.5487247592447062</v>
      </c>
      <c r="AD53" s="37">
        <f t="shared" si="54"/>
        <v>2.9930445873252332</v>
      </c>
      <c r="AE53" s="37">
        <f t="shared" si="55"/>
        <v>3.526210661636902</v>
      </c>
      <c r="AF53">
        <f>MECS_Fuel!L246</f>
        <v>3</v>
      </c>
      <c r="AG53" s="37">
        <f t="shared" si="56"/>
        <v>3.4834106866991101</v>
      </c>
      <c r="AH53" s="37">
        <f t="shared" si="57"/>
        <v>2.8834010636912977</v>
      </c>
      <c r="AI53" s="37">
        <f t="shared" si="58"/>
        <v>2.9774098793298824</v>
      </c>
      <c r="AJ53">
        <f>MECS_Fuel!M246</f>
        <v>3</v>
      </c>
      <c r="AK53" s="5">
        <f t="shared" si="59"/>
        <v>4.4320835988412783</v>
      </c>
      <c r="AL53" s="5">
        <f t="shared" si="59"/>
        <v>4.9647133073011736</v>
      </c>
      <c r="AM53" s="5">
        <f t="shared" si="59"/>
        <v>4.2770219585491782</v>
      </c>
      <c r="BI53">
        <f t="shared" si="31"/>
        <v>2002</v>
      </c>
      <c r="BJ53">
        <v>13433.641368000002</v>
      </c>
    </row>
    <row r="54" spans="4:62" x14ac:dyDescent="0.2">
      <c r="F54" t="str">
        <f t="shared" si="52"/>
        <v>321</v>
      </c>
      <c r="G54">
        <f>MECS_Fuel!E247</f>
        <v>248.79987339144392</v>
      </c>
      <c r="H54" s="37">
        <f t="shared" si="36"/>
        <v>255.75096288820842</v>
      </c>
      <c r="I54" s="37">
        <f t="shared" si="37"/>
        <v>293.32052036990052</v>
      </c>
      <c r="J54">
        <f>MECS_Fuel!F247</f>
        <v>302.60197307912358</v>
      </c>
      <c r="K54" s="37">
        <f t="shared" si="38"/>
        <v>314.98874210000514</v>
      </c>
      <c r="L54" s="37">
        <f t="shared" si="39"/>
        <v>317.55370658139748</v>
      </c>
      <c r="M54">
        <f>MECS_Fuel!G247</f>
        <v>314.83245355703338</v>
      </c>
      <c r="N54" s="37">
        <f t="shared" si="40"/>
        <v>285.65263466533662</v>
      </c>
      <c r="O54" s="37">
        <f t="shared" si="41"/>
        <v>308.99770621726981</v>
      </c>
      <c r="P54">
        <f>MECS_Fuel!H247</f>
        <v>319.45866435321039</v>
      </c>
      <c r="Q54" s="37">
        <f t="shared" si="42"/>
        <v>373.11340884966961</v>
      </c>
      <c r="R54" s="37">
        <f t="shared" si="43"/>
        <v>354.43765969546752</v>
      </c>
      <c r="S54" s="37">
        <f t="shared" si="44"/>
        <v>351.22789070081427</v>
      </c>
      <c r="T54">
        <f>MECS_Fuel!I247</f>
        <v>431.76796000000002</v>
      </c>
      <c r="U54" s="37">
        <f t="shared" si="45"/>
        <v>456.65878470026882</v>
      </c>
      <c r="V54" s="37">
        <f t="shared" si="46"/>
        <v>395.38550253374592</v>
      </c>
      <c r="W54" s="37">
        <f t="shared" si="47"/>
        <v>334.95065632387758</v>
      </c>
      <c r="X54">
        <f>MECS_Fuel!J247</f>
        <v>303.39918</v>
      </c>
      <c r="Y54" s="37">
        <f t="shared" si="48"/>
        <v>315.36572210850733</v>
      </c>
      <c r="Z54" s="37">
        <f t="shared" si="49"/>
        <v>334.05313526607807</v>
      </c>
      <c r="AA54" s="37">
        <f t="shared" si="50"/>
        <v>328.05195783490865</v>
      </c>
      <c r="AB54" s="18">
        <f>MECS_Fuel!K247</f>
        <v>353.821124</v>
      </c>
      <c r="AC54" s="37">
        <f t="shared" si="53"/>
        <v>384.72650075395597</v>
      </c>
      <c r="AD54" s="37">
        <f t="shared" si="54"/>
        <v>340.75137141804316</v>
      </c>
      <c r="AE54" s="37">
        <f t="shared" si="55"/>
        <v>349.87643313649335</v>
      </c>
      <c r="AF54">
        <f>MECS_Fuel!L247</f>
        <v>418</v>
      </c>
      <c r="AG54" s="37">
        <f t="shared" si="56"/>
        <v>344.71258871576003</v>
      </c>
      <c r="AH54" s="37">
        <f t="shared" si="57"/>
        <v>268.15711778672494</v>
      </c>
      <c r="AI54" s="37">
        <f t="shared" si="58"/>
        <v>299.38234805307519</v>
      </c>
      <c r="AJ54">
        <f>MECS_Fuel!M247</f>
        <v>311</v>
      </c>
      <c r="AK54" s="5">
        <f t="shared" si="59"/>
        <v>386.26514793818404</v>
      </c>
      <c r="AL54" s="5">
        <f t="shared" si="59"/>
        <v>429.30426619607431</v>
      </c>
      <c r="AM54" s="5">
        <f t="shared" si="59"/>
        <v>458.23367249135623</v>
      </c>
      <c r="BI54">
        <f t="shared" si="31"/>
        <v>2003</v>
      </c>
      <c r="BJ54">
        <v>12683.97905434305</v>
      </c>
    </row>
    <row r="55" spans="4:62" x14ac:dyDescent="0.2">
      <c r="F55" t="str">
        <f t="shared" si="52"/>
        <v>322</v>
      </c>
      <c r="G55">
        <f>MECS_Fuel!E248</f>
        <v>2017.3632372266716</v>
      </c>
      <c r="H55" s="37">
        <f t="shared" si="36"/>
        <v>1985.8799822003309</v>
      </c>
      <c r="I55" s="37">
        <f t="shared" si="37"/>
        <v>2039.394142819116</v>
      </c>
      <c r="J55">
        <f>MECS_Fuel!F248</f>
        <v>2153.9562641132611</v>
      </c>
      <c r="K55" s="37">
        <f t="shared" si="38"/>
        <v>2186.1253063093668</v>
      </c>
      <c r="L55" s="37">
        <f t="shared" si="39"/>
        <v>2232.4561523667417</v>
      </c>
      <c r="M55">
        <f>MECS_Fuel!G248</f>
        <v>2267.2367478194155</v>
      </c>
      <c r="N55" s="37">
        <f t="shared" si="40"/>
        <v>2376.8968151839495</v>
      </c>
      <c r="O55" s="37">
        <f t="shared" si="41"/>
        <v>2413.860058955303</v>
      </c>
      <c r="P55">
        <f>MECS_Fuel!H248</f>
        <v>2406.5414497255788</v>
      </c>
      <c r="Q55" s="37">
        <f t="shared" si="42"/>
        <v>2475.1031059942475</v>
      </c>
      <c r="R55" s="37">
        <f t="shared" si="43"/>
        <v>2445.7058531055864</v>
      </c>
      <c r="S55" s="37">
        <f t="shared" si="44"/>
        <v>2444.4671078929837</v>
      </c>
      <c r="T55">
        <f>MECS_Fuel!I248</f>
        <v>2503.918032</v>
      </c>
      <c r="U55" s="37">
        <f t="shared" si="45"/>
        <v>2465.1884562264563</v>
      </c>
      <c r="V55" s="37">
        <f t="shared" si="46"/>
        <v>2357.2657029108259</v>
      </c>
      <c r="W55" s="37">
        <f t="shared" si="47"/>
        <v>2298.5199852617166</v>
      </c>
      <c r="X55">
        <f>MECS_Fuel!J248</f>
        <v>2137.503764</v>
      </c>
      <c r="Y55" s="37">
        <f t="shared" si="48"/>
        <v>2062.2055493557114</v>
      </c>
      <c r="Z55" s="37">
        <f t="shared" si="49"/>
        <v>2028.3709641295484</v>
      </c>
      <c r="AA55" s="37">
        <f t="shared" si="50"/>
        <v>2041.520676975912</v>
      </c>
      <c r="AB55" s="18">
        <f>MECS_Fuel!K248</f>
        <v>2106.5685840000001</v>
      </c>
      <c r="AC55" s="37">
        <f t="shared" si="53"/>
        <v>2090.1212360058084</v>
      </c>
      <c r="AD55" s="37">
        <f t="shared" si="54"/>
        <v>1905.2774059551602</v>
      </c>
      <c r="AE55" s="37">
        <f t="shared" si="55"/>
        <v>1774.044580052572</v>
      </c>
      <c r="AF55">
        <f>MECS_Fuel!L248</f>
        <v>1904</v>
      </c>
      <c r="AG55" s="37">
        <f t="shared" si="56"/>
        <v>1722.0786392639382</v>
      </c>
      <c r="AH55" s="37">
        <f t="shared" si="57"/>
        <v>1678.8466954510259</v>
      </c>
      <c r="AI55" s="37">
        <f t="shared" si="58"/>
        <v>1810.8084829965851</v>
      </c>
      <c r="AJ55">
        <f>MECS_Fuel!M248</f>
        <v>1899</v>
      </c>
      <c r="AK55" s="5">
        <f t="shared" si="59"/>
        <v>1916.5339866445674</v>
      </c>
      <c r="AL55" s="5">
        <f t="shared" si="59"/>
        <v>1920.6028756718433</v>
      </c>
      <c r="AM55" s="5">
        <f t="shared" si="59"/>
        <v>1793.6389598515498</v>
      </c>
      <c r="BI55">
        <f t="shared" si="31"/>
        <v>2004</v>
      </c>
      <c r="BJ55">
        <v>12662.2812968331</v>
      </c>
    </row>
    <row r="56" spans="4:62" x14ac:dyDescent="0.2">
      <c r="F56" t="str">
        <f t="shared" si="52"/>
        <v>323</v>
      </c>
      <c r="G56">
        <f>MECS_Fuel!E249</f>
        <v>26.699079874753146</v>
      </c>
      <c r="H56" s="37">
        <f t="shared" si="36"/>
        <v>31.398684042991388</v>
      </c>
      <c r="I56" s="37">
        <f t="shared" si="37"/>
        <v>35.457031000499867</v>
      </c>
      <c r="J56">
        <f>MECS_Fuel!F249</f>
        <v>40.089746346787351</v>
      </c>
      <c r="K56" s="37">
        <f t="shared" si="38"/>
        <v>41.243633713675202</v>
      </c>
      <c r="L56" s="37">
        <f t="shared" si="39"/>
        <v>40.250360783695889</v>
      </c>
      <c r="M56">
        <f>MECS_Fuel!G249</f>
        <v>38.576483481067747</v>
      </c>
      <c r="N56" s="37">
        <f t="shared" si="40"/>
        <v>38.178392597320688</v>
      </c>
      <c r="O56" s="37">
        <f t="shared" si="41"/>
        <v>35.271440939704874</v>
      </c>
      <c r="P56">
        <f>MECS_Fuel!H249</f>
        <v>37.113573244007682</v>
      </c>
      <c r="Q56" s="37">
        <f t="shared" si="42"/>
        <v>43.188518122581051</v>
      </c>
      <c r="R56" s="37">
        <f t="shared" si="43"/>
        <v>40.33110661016218</v>
      </c>
      <c r="S56" s="37">
        <f t="shared" si="44"/>
        <v>40.608372244311404</v>
      </c>
      <c r="T56">
        <f>MECS_Fuel!I249</f>
        <v>47.004247999999997</v>
      </c>
      <c r="U56" s="37">
        <f t="shared" si="45"/>
        <v>52.164830887173935</v>
      </c>
      <c r="V56" s="37">
        <f t="shared" si="46"/>
        <v>43.975163094048298</v>
      </c>
      <c r="W56" s="37">
        <f t="shared" si="47"/>
        <v>43.927533603441304</v>
      </c>
      <c r="X56">
        <f>MECS_Fuel!J249</f>
        <v>47.795832000000004</v>
      </c>
      <c r="Y56" s="37">
        <f t="shared" si="48"/>
        <v>39.692067517161526</v>
      </c>
      <c r="Z56" s="37">
        <f t="shared" si="49"/>
        <v>39.966826921984563</v>
      </c>
      <c r="AA56" s="37">
        <f t="shared" si="50"/>
        <v>36.753303021623331</v>
      </c>
      <c r="AB56" s="18">
        <f>MECS_Fuel!K249</f>
        <v>40.374451999999998</v>
      </c>
      <c r="AC56" s="37">
        <f t="shared" si="53"/>
        <v>40.901224952433246</v>
      </c>
      <c r="AD56" s="37">
        <f t="shared" si="54"/>
        <v>32.461027328280444</v>
      </c>
      <c r="AE56" s="37">
        <f t="shared" si="55"/>
        <v>42.881660809701962</v>
      </c>
      <c r="AF56">
        <f>MECS_Fuel!L249</f>
        <v>36</v>
      </c>
      <c r="AG56" s="37">
        <f t="shared" si="56"/>
        <v>39.681746342190024</v>
      </c>
      <c r="AH56" s="37">
        <f t="shared" si="57"/>
        <v>40.886951644453283</v>
      </c>
      <c r="AI56" s="37">
        <f t="shared" si="58"/>
        <v>41.131101202521521</v>
      </c>
      <c r="AJ56">
        <f>MECS_Fuel!M249</f>
        <v>40</v>
      </c>
      <c r="AK56" s="5">
        <f t="shared" si="59"/>
        <v>41.772916701739263</v>
      </c>
      <c r="AL56" s="5">
        <f t="shared" si="59"/>
        <v>48.826228708148577</v>
      </c>
      <c r="AM56" s="5">
        <f t="shared" si="59"/>
        <v>59.497184411456416</v>
      </c>
      <c r="BI56">
        <f t="shared" si="31"/>
        <v>2005</v>
      </c>
      <c r="BJ56">
        <v>12496.464302974078</v>
      </c>
    </row>
    <row r="57" spans="4:62" x14ac:dyDescent="0.2">
      <c r="F57" t="str">
        <f t="shared" si="52"/>
        <v>324</v>
      </c>
      <c r="G57">
        <f>MECS_Fuel!E250</f>
        <v>2519.6333802647096</v>
      </c>
      <c r="H57" s="37">
        <f t="shared" si="36"/>
        <v>2626.7910501830515</v>
      </c>
      <c r="I57" s="37">
        <f t="shared" si="37"/>
        <v>2540.5233690368536</v>
      </c>
      <c r="J57">
        <f>MECS_Fuel!F250</f>
        <v>3018.3157833208888</v>
      </c>
      <c r="K57" s="37">
        <f t="shared" si="38"/>
        <v>2915.2969285910458</v>
      </c>
      <c r="L57" s="37">
        <f t="shared" si="39"/>
        <v>3124.7889425288813</v>
      </c>
      <c r="M57">
        <f>MECS_Fuel!G250</f>
        <v>2884.3712617836486</v>
      </c>
      <c r="N57" s="37">
        <f t="shared" si="40"/>
        <v>2872.0335311985218</v>
      </c>
      <c r="O57" s="37">
        <f t="shared" si="41"/>
        <v>3246.9546532568111</v>
      </c>
      <c r="P57">
        <f>MECS_Fuel!H250</f>
        <v>3144.6947232151383</v>
      </c>
      <c r="Q57" s="37">
        <f t="shared" si="42"/>
        <v>3137.6429801840677</v>
      </c>
      <c r="R57" s="37">
        <f t="shared" si="43"/>
        <v>3075.4499035761555</v>
      </c>
      <c r="S57" s="37">
        <f t="shared" si="44"/>
        <v>2949.7808019834833</v>
      </c>
      <c r="T57">
        <f>MECS_Fuel!I250</f>
        <v>3495.5546920000002</v>
      </c>
      <c r="U57" s="37">
        <f t="shared" si="45"/>
        <v>3559.9686790500004</v>
      </c>
      <c r="V57" s="37">
        <f t="shared" si="46"/>
        <v>3613.8718330000002</v>
      </c>
      <c r="W57" s="37">
        <f t="shared" si="47"/>
        <v>3380.0635843649989</v>
      </c>
      <c r="X57">
        <f>MECS_Fuel!J250</f>
        <v>3075.1213680000001</v>
      </c>
      <c r="Y57" s="37">
        <f t="shared" si="48"/>
        <v>2948.1391387304238</v>
      </c>
      <c r="Z57" s="37">
        <f t="shared" si="49"/>
        <v>3025.491120124726</v>
      </c>
      <c r="AA57" s="37">
        <f t="shared" si="50"/>
        <v>3193.4321473633022</v>
      </c>
      <c r="AB57" s="18">
        <f>MECS_Fuel!K250</f>
        <v>3259.0627920000002</v>
      </c>
      <c r="AC57" s="37">
        <f t="shared" si="53"/>
        <v>3224.6173172433992</v>
      </c>
      <c r="AD57" s="37">
        <f t="shared" si="54"/>
        <v>3293.4724138945789</v>
      </c>
      <c r="AE57" s="37">
        <f t="shared" si="55"/>
        <v>2789.2590401073339</v>
      </c>
      <c r="AF57">
        <f>MECS_Fuel!L250</f>
        <v>3159</v>
      </c>
      <c r="AG57" s="37">
        <f t="shared" si="56"/>
        <v>3119.7773525461766</v>
      </c>
      <c r="AH57" s="37">
        <f t="shared" si="57"/>
        <v>2948.0452954146526</v>
      </c>
      <c r="AI57" s="37">
        <f t="shared" si="58"/>
        <v>3141.97711054922</v>
      </c>
      <c r="AJ57">
        <f>MECS_Fuel!M250</f>
        <v>3346</v>
      </c>
      <c r="AK57" s="5">
        <f t="shared" si="59"/>
        <v>2662.5075454970774</v>
      </c>
      <c r="AL57" s="5">
        <f t="shared" si="59"/>
        <v>2393.0286293869767</v>
      </c>
      <c r="AM57" s="5">
        <f t="shared" si="59"/>
        <v>2653.5491863240372</v>
      </c>
      <c r="BI57">
        <f t="shared" si="31"/>
        <v>2006</v>
      </c>
      <c r="BJ57">
        <v>12805.585636000002</v>
      </c>
    </row>
    <row r="58" spans="4:62" x14ac:dyDescent="0.2">
      <c r="F58" t="str">
        <f t="shared" si="52"/>
        <v>325</v>
      </c>
      <c r="G58">
        <f>MECS_Fuel!E251</f>
        <v>1982.3306729500532</v>
      </c>
      <c r="H58" s="37">
        <f t="shared" si="36"/>
        <v>1831.8447835330508</v>
      </c>
      <c r="I58" s="37">
        <f t="shared" si="37"/>
        <v>2195.6054591308875</v>
      </c>
      <c r="J58">
        <f>MECS_Fuel!F251</f>
        <v>2425.2974275342949</v>
      </c>
      <c r="K58" s="37">
        <f t="shared" si="38"/>
        <v>2499.3203693504865</v>
      </c>
      <c r="L58" s="37">
        <f t="shared" si="39"/>
        <v>2517.1130386253217</v>
      </c>
      <c r="M58">
        <f>MECS_Fuel!G251</f>
        <v>2577.2858974832011</v>
      </c>
      <c r="N58" s="37">
        <f t="shared" si="40"/>
        <v>2632.2200280541119</v>
      </c>
      <c r="O58" s="37">
        <f t="shared" si="41"/>
        <v>2820.3739697938513</v>
      </c>
      <c r="P58">
        <f>MECS_Fuel!H251</f>
        <v>2729.1714558311169</v>
      </c>
      <c r="Q58" s="37">
        <f t="shared" si="42"/>
        <v>2877.6037699885965</v>
      </c>
      <c r="R58" s="37">
        <f t="shared" si="43"/>
        <v>2983.4361586099817</v>
      </c>
      <c r="S58" s="37">
        <f t="shared" si="44"/>
        <v>2817.9117757813692</v>
      </c>
      <c r="T58">
        <f>MECS_Fuel!I251</f>
        <v>3126.5770039999998</v>
      </c>
      <c r="U58" s="37">
        <f t="shared" si="45"/>
        <v>3498.9703549895826</v>
      </c>
      <c r="V58" s="37">
        <f t="shared" si="46"/>
        <v>3615.6959010259156</v>
      </c>
      <c r="W58" s="37">
        <f t="shared" si="47"/>
        <v>3551.4100552177861</v>
      </c>
      <c r="X58">
        <f>MECS_Fuel!J251</f>
        <v>3246.609152</v>
      </c>
      <c r="Y58" s="37">
        <f t="shared" si="48"/>
        <v>2888.0664643530986</v>
      </c>
      <c r="Z58" s="37">
        <f t="shared" si="49"/>
        <v>2813.8843609137466</v>
      </c>
      <c r="AA58" s="37">
        <f t="shared" si="50"/>
        <v>2732.1209966405363</v>
      </c>
      <c r="AB58" s="18">
        <f>MECS_Fuel!K251</f>
        <v>2677.7578599999997</v>
      </c>
      <c r="AC58" s="37">
        <f t="shared" si="53"/>
        <v>2785.9559975493548</v>
      </c>
      <c r="AD58" s="37">
        <f t="shared" si="54"/>
        <v>2693.658556429019</v>
      </c>
      <c r="AE58" s="37">
        <f t="shared" si="55"/>
        <v>2420.7850783001531</v>
      </c>
      <c r="AF58">
        <f>MECS_Fuel!L251</f>
        <v>2772</v>
      </c>
      <c r="AG58" s="37">
        <f t="shared" si="56"/>
        <v>2865.8842342198377</v>
      </c>
      <c r="AH58" s="37">
        <f t="shared" si="57"/>
        <v>2721.4162617878787</v>
      </c>
      <c r="AI58" s="37">
        <f t="shared" si="58"/>
        <v>3072.8614151678034</v>
      </c>
      <c r="AJ58">
        <f>MECS_Fuel!M251</f>
        <v>3069</v>
      </c>
      <c r="AK58" s="5">
        <f t="shared" si="59"/>
        <v>3261.3093142911703</v>
      </c>
      <c r="AL58" s="5">
        <f t="shared" si="59"/>
        <v>3611.5291991229756</v>
      </c>
      <c r="AM58" s="5">
        <f t="shared" si="59"/>
        <v>3286.1766212997227</v>
      </c>
      <c r="BI58">
        <f t="shared" si="31"/>
        <v>2007</v>
      </c>
      <c r="BJ58">
        <v>12854.449485866866</v>
      </c>
    </row>
    <row r="59" spans="4:62" x14ac:dyDescent="0.2">
      <c r="F59" t="str">
        <f t="shared" si="52"/>
        <v>326</v>
      </c>
      <c r="G59">
        <f>MECS_Fuel!E252</f>
        <v>128.43055874180072</v>
      </c>
      <c r="H59" s="37">
        <f t="shared" si="36"/>
        <v>135.02187702867309</v>
      </c>
      <c r="I59" s="37">
        <f t="shared" si="37"/>
        <v>151.42293972634729</v>
      </c>
      <c r="J59">
        <f>MECS_Fuel!F252</f>
        <v>150.36582650079393</v>
      </c>
      <c r="K59" s="37">
        <f t="shared" si="38"/>
        <v>156.13332627095838</v>
      </c>
      <c r="L59" s="37">
        <f t="shared" si="39"/>
        <v>135.02276624658089</v>
      </c>
      <c r="M59">
        <f>MECS_Fuel!G252</f>
        <v>125.61488437265322</v>
      </c>
      <c r="N59" s="37">
        <f t="shared" si="40"/>
        <v>132.95089229393827</v>
      </c>
      <c r="O59" s="37">
        <f t="shared" si="41"/>
        <v>136.77256011490636</v>
      </c>
      <c r="P59">
        <f>MECS_Fuel!H252</f>
        <v>141.58522460569185</v>
      </c>
      <c r="Q59" s="37">
        <f t="shared" si="42"/>
        <v>151.80278514264387</v>
      </c>
      <c r="R59" s="37">
        <f t="shared" si="43"/>
        <v>145.59186602176126</v>
      </c>
      <c r="S59" s="37">
        <f t="shared" si="44"/>
        <v>135.30020215581013</v>
      </c>
      <c r="T59">
        <f>MECS_Fuel!I252</f>
        <v>144.39999600000002</v>
      </c>
      <c r="U59" s="37">
        <f t="shared" si="45"/>
        <v>163.77373974259751</v>
      </c>
      <c r="V59" s="37">
        <f t="shared" si="46"/>
        <v>170.55457311273068</v>
      </c>
      <c r="W59" s="37">
        <f t="shared" si="47"/>
        <v>170.96821812825092</v>
      </c>
      <c r="X59">
        <f>MECS_Fuel!J252</f>
        <v>166.54642800000002</v>
      </c>
      <c r="Y59" s="37">
        <f t="shared" si="48"/>
        <v>162.38700858836174</v>
      </c>
      <c r="Z59" s="37">
        <f t="shared" si="49"/>
        <v>156.34521408513098</v>
      </c>
      <c r="AA59" s="37">
        <f t="shared" si="50"/>
        <v>150.24560489044413</v>
      </c>
      <c r="AB59" s="18">
        <f>MECS_Fuel!K252</f>
        <v>153.785552</v>
      </c>
      <c r="AC59" s="37">
        <f t="shared" si="53"/>
        <v>143.10994103075981</v>
      </c>
      <c r="AD59" s="37">
        <f t="shared" si="54"/>
        <v>118.89421130373546</v>
      </c>
      <c r="AE59" s="37">
        <f t="shared" si="55"/>
        <v>111.58171088640285</v>
      </c>
      <c r="AF59">
        <f>MECS_Fuel!L252</f>
        <v>116</v>
      </c>
      <c r="AG59" s="37">
        <f t="shared" si="56"/>
        <v>114.33836166733738</v>
      </c>
      <c r="AH59" s="37">
        <f t="shared" si="57"/>
        <v>109.54490865472242</v>
      </c>
      <c r="AI59" s="37">
        <f t="shared" si="58"/>
        <v>111.07562545949031</v>
      </c>
      <c r="AJ59">
        <f>MECS_Fuel!M252</f>
        <v>104</v>
      </c>
      <c r="AK59" s="5">
        <f t="shared" si="59"/>
        <v>118.14538873303597</v>
      </c>
      <c r="AL59" s="5">
        <f t="shared" si="59"/>
        <v>134.51930028316804</v>
      </c>
      <c r="AM59" s="5">
        <f t="shared" si="59"/>
        <v>157.39604481768811</v>
      </c>
      <c r="BI59">
        <f t="shared" si="31"/>
        <v>2008</v>
      </c>
      <c r="BJ59">
        <v>12079.741878083896</v>
      </c>
    </row>
    <row r="60" spans="4:62" x14ac:dyDescent="0.2">
      <c r="F60" t="str">
        <f t="shared" si="52"/>
        <v>327</v>
      </c>
      <c r="G60">
        <f>MECS_Fuel!E253</f>
        <v>791.01545520082436</v>
      </c>
      <c r="H60" s="37">
        <f t="shared" si="36"/>
        <v>833.84549437982139</v>
      </c>
      <c r="I60" s="37">
        <f t="shared" si="37"/>
        <v>865.36110422201477</v>
      </c>
      <c r="J60">
        <f>MECS_Fuel!F253</f>
        <v>884.64406029384702</v>
      </c>
      <c r="K60" s="37">
        <f t="shared" si="38"/>
        <v>872.26871686531888</v>
      </c>
      <c r="L60" s="37">
        <f t="shared" si="39"/>
        <v>839.79715936733282</v>
      </c>
      <c r="M60">
        <f>MECS_Fuel!G253</f>
        <v>788.81428212035598</v>
      </c>
      <c r="N60" s="37">
        <f t="shared" si="40"/>
        <v>834.39754001449057</v>
      </c>
      <c r="O60" s="37">
        <f t="shared" si="41"/>
        <v>866.94246720947717</v>
      </c>
      <c r="P60">
        <f>MECS_Fuel!H253</f>
        <v>822.05619657793363</v>
      </c>
      <c r="Q60" s="37">
        <f t="shared" si="42"/>
        <v>836.37810053118699</v>
      </c>
      <c r="R60" s="37">
        <f t="shared" si="43"/>
        <v>768.59394669215737</v>
      </c>
      <c r="S60" s="37">
        <f t="shared" si="44"/>
        <v>781.48054541412921</v>
      </c>
      <c r="T60">
        <f>MECS_Fuel!I253</f>
        <v>834.98687599999994</v>
      </c>
      <c r="U60" s="37">
        <f t="shared" si="45"/>
        <v>887.75742962271181</v>
      </c>
      <c r="V60" s="37">
        <f t="shared" si="46"/>
        <v>860.3030388807673</v>
      </c>
      <c r="W60" s="37">
        <f t="shared" si="47"/>
        <v>844.57954689595817</v>
      </c>
      <c r="X60">
        <f>MECS_Fuel!J253</f>
        <v>910.76708400000007</v>
      </c>
      <c r="Y60" s="37">
        <f t="shared" si="48"/>
        <v>843.66258808021871</v>
      </c>
      <c r="Z60" s="37">
        <f t="shared" si="49"/>
        <v>846.35668023327139</v>
      </c>
      <c r="AA60" s="37">
        <f t="shared" si="50"/>
        <v>887.23108283057456</v>
      </c>
      <c r="AB60" s="18">
        <f>MECS_Fuel!K253</f>
        <v>958.36588800000004</v>
      </c>
      <c r="AC60" s="37">
        <f t="shared" si="53"/>
        <v>888.6890971564701</v>
      </c>
      <c r="AD60" s="37">
        <f t="shared" si="54"/>
        <v>744.58615673498946</v>
      </c>
      <c r="AE60" s="37">
        <f t="shared" si="55"/>
        <v>646.20773136287312</v>
      </c>
      <c r="AF60">
        <f>MECS_Fuel!L253</f>
        <v>600</v>
      </c>
      <c r="AG60" s="37">
        <f t="shared" si="56"/>
        <v>611.9249777848737</v>
      </c>
      <c r="AH60" s="37">
        <f t="shared" si="57"/>
        <v>624.0796384681654</v>
      </c>
      <c r="AI60" s="37">
        <f t="shared" si="58"/>
        <v>679.69946888069933</v>
      </c>
      <c r="AJ60">
        <f>MECS_Fuel!M253</f>
        <v>699</v>
      </c>
      <c r="AK60" s="5">
        <f t="shared" si="59"/>
        <v>721.54524566856969</v>
      </c>
      <c r="AL60" s="5">
        <f t="shared" si="59"/>
        <v>777.91367304417702</v>
      </c>
      <c r="AM60" s="5">
        <f t="shared" si="59"/>
        <v>714.07677883262534</v>
      </c>
      <c r="BI60">
        <f t="shared" si="31"/>
        <v>2009</v>
      </c>
      <c r="BJ60">
        <v>10850.372611996912</v>
      </c>
    </row>
    <row r="61" spans="4:62" x14ac:dyDescent="0.2">
      <c r="F61" t="str">
        <f t="shared" si="52"/>
        <v>331</v>
      </c>
      <c r="G61">
        <f>MECS_Fuel!E254</f>
        <v>1931.5726855408925</v>
      </c>
      <c r="H61" s="37">
        <f t="shared" si="36"/>
        <v>1819.4681276410374</v>
      </c>
      <c r="I61" s="37">
        <f t="shared" si="37"/>
        <v>1819.8952963174174</v>
      </c>
      <c r="J61">
        <f>MECS_Fuel!F254</f>
        <v>2134.8918237453663</v>
      </c>
      <c r="K61" s="37">
        <f t="shared" si="38"/>
        <v>2135.9489196898717</v>
      </c>
      <c r="L61" s="37">
        <f t="shared" si="39"/>
        <v>2058.910056035751</v>
      </c>
      <c r="M61">
        <f>MECS_Fuel!G254</f>
        <v>1811.54797443144</v>
      </c>
      <c r="N61" s="37">
        <f t="shared" si="40"/>
        <v>1860.7007555363432</v>
      </c>
      <c r="O61" s="37">
        <f t="shared" si="41"/>
        <v>1980.5512991134312</v>
      </c>
      <c r="P61">
        <f>MECS_Fuel!H254</f>
        <v>2096.657607556745</v>
      </c>
      <c r="Q61" s="37">
        <f t="shared" si="42"/>
        <v>2018.3220014173257</v>
      </c>
      <c r="R61" s="37">
        <f t="shared" si="43"/>
        <v>2087.7303780101934</v>
      </c>
      <c r="S61" s="37">
        <f t="shared" si="44"/>
        <v>2032.416827386887</v>
      </c>
      <c r="T61">
        <f>MECS_Fuel!I254</f>
        <v>2031.356088</v>
      </c>
      <c r="U61" s="37">
        <f t="shared" si="45"/>
        <v>1927.9607115402796</v>
      </c>
      <c r="V61" s="37">
        <f t="shared" si="46"/>
        <v>1984.8032031815608</v>
      </c>
      <c r="W61" s="37">
        <f t="shared" si="47"/>
        <v>1881.1112478914877</v>
      </c>
      <c r="X61">
        <f>MECS_Fuel!J254</f>
        <v>1629.9591760000001</v>
      </c>
      <c r="Y61" s="37">
        <f t="shared" si="48"/>
        <v>1681.9663811639548</v>
      </c>
      <c r="Z61" s="37">
        <f t="shared" si="49"/>
        <v>1709.7117812587637</v>
      </c>
      <c r="AA61" s="37">
        <f t="shared" si="50"/>
        <v>1414.7412336622619</v>
      </c>
      <c r="AB61" s="18">
        <f>MECS_Fuel!K254</f>
        <v>1285.6831</v>
      </c>
      <c r="AC61" s="37">
        <f t="shared" si="53"/>
        <v>1398.596658536504</v>
      </c>
      <c r="AD61" s="37">
        <f t="shared" si="54"/>
        <v>1367.2205669627242</v>
      </c>
      <c r="AE61" s="37">
        <f t="shared" si="55"/>
        <v>960.90080405798346</v>
      </c>
      <c r="AF61">
        <f>MECS_Fuel!L254</f>
        <v>1255</v>
      </c>
      <c r="AG61" s="37">
        <f t="shared" si="56"/>
        <v>1260.1959118059083</v>
      </c>
      <c r="AH61" s="37">
        <f t="shared" si="57"/>
        <v>1098.7242374193011</v>
      </c>
      <c r="AI61" s="37">
        <f t="shared" si="58"/>
        <v>1200.1910170523031</v>
      </c>
      <c r="AJ61">
        <f>MECS_Fuel!M254</f>
        <v>1251</v>
      </c>
      <c r="AK61" s="5">
        <f t="shared" si="59"/>
        <v>1037.5190144924757</v>
      </c>
      <c r="AL61" s="5">
        <f t="shared" si="59"/>
        <v>971.67780208199395</v>
      </c>
      <c r="AM61" s="5">
        <f t="shared" si="59"/>
        <v>984.99162402591401</v>
      </c>
      <c r="BI61">
        <f t="shared" si="31"/>
        <v>2010</v>
      </c>
      <c r="BJ61">
        <v>11795</v>
      </c>
    </row>
    <row r="62" spans="4:62" x14ac:dyDescent="0.2">
      <c r="F62" t="str">
        <f t="shared" si="52"/>
        <v>332</v>
      </c>
      <c r="G62">
        <f>MECS_Fuel!E255</f>
        <v>218.6220851003327</v>
      </c>
      <c r="H62" s="37">
        <f t="shared" si="36"/>
        <v>236.43141790334087</v>
      </c>
      <c r="I62" s="37">
        <f t="shared" si="37"/>
        <v>242.60813301921721</v>
      </c>
      <c r="J62">
        <f>MECS_Fuel!F255</f>
        <v>251.14969713900282</v>
      </c>
      <c r="K62" s="37">
        <f t="shared" si="38"/>
        <v>241.61252681571094</v>
      </c>
      <c r="L62" s="37">
        <f t="shared" si="39"/>
        <v>222.61909858361435</v>
      </c>
      <c r="M62">
        <f>MECS_Fuel!G255</f>
        <v>217.28105279356296</v>
      </c>
      <c r="N62" s="37">
        <f t="shared" si="40"/>
        <v>221.51344199750795</v>
      </c>
      <c r="O62" s="37">
        <f t="shared" si="41"/>
        <v>238.70978614279537</v>
      </c>
      <c r="P62">
        <f>MECS_Fuel!H255</f>
        <v>263.57968281835372</v>
      </c>
      <c r="Q62" s="37">
        <f t="shared" si="42"/>
        <v>289.62365431759213</v>
      </c>
      <c r="R62" s="37">
        <f t="shared" si="43"/>
        <v>248.28781667305427</v>
      </c>
      <c r="S62" s="37">
        <f t="shared" si="44"/>
        <v>234.68145352408129</v>
      </c>
      <c r="T62">
        <f>MECS_Fuel!I255</f>
        <v>265.28541200000001</v>
      </c>
      <c r="U62" s="37">
        <f t="shared" si="45"/>
        <v>288.74371654908276</v>
      </c>
      <c r="V62" s="37">
        <f t="shared" si="46"/>
        <v>253.16629233678722</v>
      </c>
      <c r="W62" s="37">
        <f t="shared" si="47"/>
        <v>236.80312759318167</v>
      </c>
      <c r="X62">
        <f>MECS_Fuel!J255</f>
        <v>226.21632399999999</v>
      </c>
      <c r="Y62" s="37">
        <f t="shared" si="48"/>
        <v>210.87604467529428</v>
      </c>
      <c r="Z62" s="37">
        <f t="shared" si="49"/>
        <v>206.00060290700236</v>
      </c>
      <c r="AA62" s="37">
        <f t="shared" si="50"/>
        <v>209.91812999611622</v>
      </c>
      <c r="AB62" s="18">
        <f>MECS_Fuel!K255</f>
        <v>253.81542000000002</v>
      </c>
      <c r="AC62" s="37">
        <f t="shared" si="53"/>
        <v>236.27608038255704</v>
      </c>
      <c r="AD62" s="37">
        <f t="shared" si="54"/>
        <v>186.52536210085808</v>
      </c>
      <c r="AE62" s="37">
        <f t="shared" si="55"/>
        <v>192.36823377378479</v>
      </c>
      <c r="AF62">
        <f>MECS_Fuel!L255</f>
        <v>174</v>
      </c>
      <c r="AG62" s="37">
        <f t="shared" si="56"/>
        <v>188.724641806542</v>
      </c>
      <c r="AH62" s="37">
        <f t="shared" si="57"/>
        <v>193.8473245114659</v>
      </c>
      <c r="AI62" s="37">
        <f t="shared" si="58"/>
        <v>197.31845463184905</v>
      </c>
      <c r="AJ62">
        <f>MECS_Fuel!M255</f>
        <v>201</v>
      </c>
      <c r="AK62" s="5">
        <f t="shared" si="59"/>
        <v>243.17904468805639</v>
      </c>
      <c r="AL62" s="5">
        <f t="shared" si="59"/>
        <v>263.59014611965085</v>
      </c>
      <c r="AM62" s="5">
        <f t="shared" si="59"/>
        <v>244.97167709150528</v>
      </c>
      <c r="BI62">
        <v>2011</v>
      </c>
      <c r="BJ62">
        <v>11661.920733035413</v>
      </c>
    </row>
    <row r="63" spans="4:62" x14ac:dyDescent="0.2">
      <c r="F63" t="str">
        <f t="shared" si="52"/>
        <v>333</v>
      </c>
      <c r="G63">
        <f>MECS_Fuel!E256</f>
        <v>118.55685257512636</v>
      </c>
      <c r="H63" s="37">
        <f t="shared" si="36"/>
        <v>131.76262360948817</v>
      </c>
      <c r="I63" s="37">
        <f t="shared" si="37"/>
        <v>133.59407668064966</v>
      </c>
      <c r="J63">
        <f>MECS_Fuel!F256</f>
        <v>138.88393804304263</v>
      </c>
      <c r="K63" s="37">
        <f t="shared" si="38"/>
        <v>135.84765730352257</v>
      </c>
      <c r="L63" s="37">
        <f t="shared" si="39"/>
        <v>120.63206911012374</v>
      </c>
      <c r="M63">
        <f>MECS_Fuel!G256</f>
        <v>113.47965946591772</v>
      </c>
      <c r="N63" s="37">
        <f t="shared" si="40"/>
        <v>107.05467343210731</v>
      </c>
      <c r="O63" s="37">
        <f t="shared" si="41"/>
        <v>108.0675573372492</v>
      </c>
      <c r="P63">
        <f>MECS_Fuel!H256</f>
        <v>112.92234511482371</v>
      </c>
      <c r="Q63" s="37">
        <f t="shared" si="42"/>
        <v>126.83165939971266</v>
      </c>
      <c r="R63" s="37">
        <f t="shared" si="43"/>
        <v>112.60870645818754</v>
      </c>
      <c r="S63" s="37">
        <f t="shared" si="44"/>
        <v>106.43670136428443</v>
      </c>
      <c r="T63">
        <f>MECS_Fuel!I256</f>
        <v>116.85666400000001</v>
      </c>
      <c r="U63" s="37">
        <f t="shared" si="45"/>
        <v>123.53689957565348</v>
      </c>
      <c r="V63" s="37">
        <f t="shared" si="46"/>
        <v>105.82598083764137</v>
      </c>
      <c r="W63" s="37">
        <f t="shared" si="47"/>
        <v>100.6870972290484</v>
      </c>
      <c r="X63">
        <f>MECS_Fuel!J256</f>
        <v>91.191044000000005</v>
      </c>
      <c r="Y63" s="37">
        <f t="shared" si="48"/>
        <v>77.406168726625395</v>
      </c>
      <c r="Z63" s="37">
        <f t="shared" si="49"/>
        <v>80.038938927797375</v>
      </c>
      <c r="AA63" s="37">
        <f t="shared" si="50"/>
        <v>81.01961365117613</v>
      </c>
      <c r="AB63" s="18">
        <f>MECS_Fuel!K256</f>
        <v>93.471671999999998</v>
      </c>
      <c r="AC63" s="37">
        <f t="shared" si="53"/>
        <v>100.2520387130355</v>
      </c>
      <c r="AD63" s="37">
        <f t="shared" si="54"/>
        <v>78.853051261641937</v>
      </c>
      <c r="AE63" s="37">
        <f t="shared" si="55"/>
        <v>87.825004558862744</v>
      </c>
      <c r="AF63">
        <f>MECS_Fuel!L256</f>
        <v>78</v>
      </c>
      <c r="AG63" s="37">
        <f t="shared" si="56"/>
        <v>87.855529195606763</v>
      </c>
      <c r="AH63" s="37">
        <f t="shared" si="57"/>
        <v>83.277537047934089</v>
      </c>
      <c r="AI63" s="37">
        <f t="shared" si="58"/>
        <v>85.159713195512765</v>
      </c>
      <c r="AJ63">
        <f>MECS_Fuel!M256</f>
        <v>84</v>
      </c>
      <c r="AK63" s="5">
        <f t="shared" si="59"/>
        <v>91.210008731150793</v>
      </c>
      <c r="AL63" s="5">
        <f t="shared" si="59"/>
        <v>95.547646245422513</v>
      </c>
      <c r="AM63" s="5">
        <f t="shared" si="59"/>
        <v>93.885723189927347</v>
      </c>
      <c r="BI63">
        <v>2012</v>
      </c>
      <c r="BJ63">
        <v>11017.078970851395</v>
      </c>
    </row>
    <row r="64" spans="4:62" x14ac:dyDescent="0.2">
      <c r="F64" t="str">
        <f t="shared" si="52"/>
        <v>334</v>
      </c>
      <c r="G64">
        <f>MECS_Fuel!E257</f>
        <v>54.789455724294967</v>
      </c>
      <c r="H64" s="37">
        <f t="shared" si="36"/>
        <v>56.773381394787812</v>
      </c>
      <c r="I64" s="37">
        <f t="shared" si="37"/>
        <v>60.400035479019486</v>
      </c>
      <c r="J64">
        <f>MECS_Fuel!F257</f>
        <v>62.693189717341816</v>
      </c>
      <c r="K64" s="37">
        <f t="shared" si="38"/>
        <v>62.697248115282292</v>
      </c>
      <c r="L64" s="37">
        <f t="shared" si="39"/>
        <v>58.165999612572094</v>
      </c>
      <c r="M64">
        <f>MECS_Fuel!G257</f>
        <v>56.220714404637988</v>
      </c>
      <c r="N64" s="37">
        <f t="shared" si="40"/>
        <v>60.22308177563918</v>
      </c>
      <c r="O64" s="37">
        <f t="shared" si="41"/>
        <v>64.59076180040033</v>
      </c>
      <c r="P64">
        <f>MECS_Fuel!H257</f>
        <v>66.930484972733723</v>
      </c>
      <c r="Q64" s="37">
        <f t="shared" si="42"/>
        <v>73.038453387793254</v>
      </c>
      <c r="R64" s="37">
        <f t="shared" si="43"/>
        <v>72.049060260742735</v>
      </c>
      <c r="S64" s="37">
        <f t="shared" si="44"/>
        <v>65.619117583298419</v>
      </c>
      <c r="T64">
        <f>MECS_Fuel!I257</f>
        <v>67.813715999999999</v>
      </c>
      <c r="U64" s="37">
        <f t="shared" si="45"/>
        <v>75.412349760347183</v>
      </c>
      <c r="V64" s="37">
        <f t="shared" si="46"/>
        <v>77.55543180251361</v>
      </c>
      <c r="W64" s="37">
        <f t="shared" si="47"/>
        <v>65.334678752934266</v>
      </c>
      <c r="X64">
        <f>MECS_Fuel!J257</f>
        <v>69.142976000000004</v>
      </c>
      <c r="Y64" s="37">
        <f t="shared" si="48"/>
        <v>51.968914187404209</v>
      </c>
      <c r="Z64" s="37">
        <f t="shared" si="49"/>
        <v>42.613564787609363</v>
      </c>
      <c r="AA64" s="37">
        <f t="shared" si="50"/>
        <v>42.539054285313028</v>
      </c>
      <c r="AB64" s="18">
        <f>MECS_Fuel!K257</f>
        <v>47.139291999999998</v>
      </c>
      <c r="AC64" s="37">
        <f t="shared" si="53"/>
        <v>59.317149731278079</v>
      </c>
      <c r="AD64" s="37">
        <f t="shared" si="54"/>
        <v>43.705219316728574</v>
      </c>
      <c r="AE64" s="37">
        <f t="shared" si="55"/>
        <v>43.349239751799061</v>
      </c>
      <c r="AF64">
        <f>MECS_Fuel!L257</f>
        <v>43</v>
      </c>
      <c r="AG64" s="37">
        <f t="shared" si="56"/>
        <v>49.219159610574309</v>
      </c>
      <c r="AH64" s="37">
        <f t="shared" si="57"/>
        <v>52.591791695115887</v>
      </c>
      <c r="AI64" s="37">
        <f t="shared" si="58"/>
        <v>49.834979659611527</v>
      </c>
      <c r="AJ64">
        <f>MECS_Fuel!M257</f>
        <v>50</v>
      </c>
      <c r="AK64" s="5">
        <f t="shared" si="59"/>
        <v>67.394282393857807</v>
      </c>
      <c r="AL64" s="5">
        <f t="shared" si="59"/>
        <v>78.148456594430797</v>
      </c>
      <c r="AM64" s="5">
        <f t="shared" si="59"/>
        <v>115.00668055372442</v>
      </c>
      <c r="BI64">
        <v>2013</v>
      </c>
      <c r="BJ64">
        <v>11929.722103697588</v>
      </c>
    </row>
    <row r="65" spans="6:62" x14ac:dyDescent="0.2">
      <c r="F65" t="str">
        <f t="shared" si="52"/>
        <v>335</v>
      </c>
      <c r="G65">
        <f>MECS_Fuel!E258</f>
        <v>62.919467623803939</v>
      </c>
      <c r="H65" s="37">
        <f t="shared" si="36"/>
        <v>69.916919680982033</v>
      </c>
      <c r="I65" s="37">
        <f t="shared" si="37"/>
        <v>67.361584373291663</v>
      </c>
      <c r="J65">
        <f>MECS_Fuel!F258</f>
        <v>64.55717435203718</v>
      </c>
      <c r="K65" s="37">
        <f t="shared" si="38"/>
        <v>64.994227835018435</v>
      </c>
      <c r="L65" s="37">
        <f t="shared" si="39"/>
        <v>57.975944538459906</v>
      </c>
      <c r="M65">
        <f>MECS_Fuel!G258</f>
        <v>55.611292613491038</v>
      </c>
      <c r="N65" s="37">
        <f t="shared" si="40"/>
        <v>57.234985489425249</v>
      </c>
      <c r="O65" s="37">
        <f t="shared" si="41"/>
        <v>62.688490345889321</v>
      </c>
      <c r="P65">
        <f>MECS_Fuel!H258</f>
        <v>67.848599515192888</v>
      </c>
      <c r="Q65" s="37">
        <f t="shared" si="42"/>
        <v>77.856750209741236</v>
      </c>
      <c r="R65" s="37">
        <f t="shared" si="43"/>
        <v>67.460163031968875</v>
      </c>
      <c r="S65" s="37">
        <f t="shared" si="44"/>
        <v>58.848707074425718</v>
      </c>
      <c r="T65">
        <f>MECS_Fuel!I258</f>
        <v>60.671008</v>
      </c>
      <c r="U65" s="37">
        <f t="shared" si="45"/>
        <v>66.741514974897328</v>
      </c>
      <c r="V65" s="37">
        <f t="shared" si="46"/>
        <v>60.834662292932563</v>
      </c>
      <c r="W65" s="37">
        <f t="shared" si="47"/>
        <v>57.139295822194057</v>
      </c>
      <c r="X65">
        <f>MECS_Fuel!J258</f>
        <v>55.569788000000003</v>
      </c>
      <c r="Y65" s="37">
        <f t="shared" si="48"/>
        <v>46.141970005738216</v>
      </c>
      <c r="Z65" s="37">
        <f t="shared" si="49"/>
        <v>40.590875635963556</v>
      </c>
      <c r="AA65" s="37">
        <f t="shared" si="50"/>
        <v>39.675361294282581</v>
      </c>
      <c r="AB65" s="18">
        <f>MECS_Fuel!K258</f>
        <v>43.097796000000002</v>
      </c>
      <c r="AC65" s="37">
        <f t="shared" si="53"/>
        <v>45.825803281131591</v>
      </c>
      <c r="AD65" s="37">
        <f t="shared" si="54"/>
        <v>37.150422470058906</v>
      </c>
      <c r="AE65" s="37">
        <f t="shared" si="55"/>
        <v>36.104547894183433</v>
      </c>
      <c r="AF65">
        <f>MECS_Fuel!L258</f>
        <v>38</v>
      </c>
      <c r="AG65" s="37">
        <f t="shared" si="56"/>
        <v>37.494398211204988</v>
      </c>
      <c r="AH65" s="37">
        <f t="shared" si="57"/>
        <v>33.121930438388155</v>
      </c>
      <c r="AI65" s="37">
        <f t="shared" si="58"/>
        <v>28.316056303566675</v>
      </c>
      <c r="AJ65">
        <f>MECS_Fuel!M258</f>
        <v>31</v>
      </c>
      <c r="AK65" s="5">
        <f t="shared" si="59"/>
        <v>36.617221564145147</v>
      </c>
      <c r="AL65" s="5">
        <f t="shared" si="59"/>
        <v>40.504609252761661</v>
      </c>
      <c r="AM65" s="5">
        <f t="shared" si="59"/>
        <v>37.768124814892275</v>
      </c>
      <c r="BI65">
        <v>2014</v>
      </c>
      <c r="BJ65">
        <v>12301</v>
      </c>
    </row>
    <row r="66" spans="6:62" x14ac:dyDescent="0.2">
      <c r="F66" t="str">
        <f t="shared" si="52"/>
        <v>336</v>
      </c>
      <c r="G66">
        <f>MECS_Fuel!E259</f>
        <v>234.98001273849101</v>
      </c>
      <c r="H66" s="37">
        <f t="shared" si="36"/>
        <v>244.14932796917603</v>
      </c>
      <c r="I66" s="37">
        <f t="shared" si="37"/>
        <v>242.38099655777575</v>
      </c>
      <c r="J66">
        <f>MECS_Fuel!F259</f>
        <v>254.78050349600764</v>
      </c>
      <c r="K66" s="37">
        <f t="shared" si="38"/>
        <v>251.14742131079424</v>
      </c>
      <c r="L66" s="37">
        <f t="shared" si="39"/>
        <v>237.32816845389928</v>
      </c>
      <c r="M66">
        <f>MECS_Fuel!G259</f>
        <v>244.13057132985355</v>
      </c>
      <c r="N66" s="37">
        <f t="shared" si="40"/>
        <v>253.07663671240181</v>
      </c>
      <c r="O66" s="37">
        <f t="shared" si="41"/>
        <v>281.57130919761488</v>
      </c>
      <c r="P66">
        <f>MECS_Fuel!H259</f>
        <v>260.23443301298028</v>
      </c>
      <c r="Q66" s="37">
        <f t="shared" si="42"/>
        <v>278.41898668330401</v>
      </c>
      <c r="R66" s="37">
        <f t="shared" si="43"/>
        <v>260.19136025138812</v>
      </c>
      <c r="S66" s="37">
        <f t="shared" si="44"/>
        <v>258.23641416413506</v>
      </c>
      <c r="T66">
        <f>MECS_Fuel!I259</f>
        <v>292.75512400000002</v>
      </c>
      <c r="U66" s="37">
        <f t="shared" si="45"/>
        <v>276.64336592279864</v>
      </c>
      <c r="V66" s="37">
        <f t="shared" si="46"/>
        <v>246.84021245432757</v>
      </c>
      <c r="W66" s="37">
        <f t="shared" si="47"/>
        <v>257.20038854295694</v>
      </c>
      <c r="X66">
        <f>MECS_Fuel!J259</f>
        <v>251.66670399999998</v>
      </c>
      <c r="Y66" s="37">
        <f t="shared" si="48"/>
        <v>229.98821579246055</v>
      </c>
      <c r="Z66" s="37">
        <f t="shared" si="49"/>
        <v>241.72063665115977</v>
      </c>
      <c r="AA66" s="37">
        <f t="shared" si="50"/>
        <v>235.38043019571958</v>
      </c>
      <c r="AB66" s="18">
        <f>MECS_Fuel!K259</f>
        <v>283.93937199999999</v>
      </c>
      <c r="AC66" s="37">
        <f t="shared" si="53"/>
        <v>255.92503066606668</v>
      </c>
      <c r="AD66" s="37">
        <f t="shared" si="54"/>
        <v>178.02133203826156</v>
      </c>
      <c r="AE66" s="37">
        <f t="shared" si="55"/>
        <v>172.38272816028737</v>
      </c>
      <c r="AF66">
        <f>MECS_Fuel!L259</f>
        <v>143</v>
      </c>
      <c r="AG66" s="37">
        <f t="shared" si="56"/>
        <v>150.92000632672566</v>
      </c>
      <c r="AH66" s="37">
        <f t="shared" si="57"/>
        <v>147.50185586468626</v>
      </c>
      <c r="AI66" s="37">
        <f t="shared" si="58"/>
        <v>152.54903819923609</v>
      </c>
      <c r="AJ66">
        <f>MECS_Fuel!M259</f>
        <v>164</v>
      </c>
      <c r="AK66" s="5">
        <f t="shared" si="59"/>
        <v>195.87148502702223</v>
      </c>
      <c r="AL66" s="5">
        <f t="shared" si="59"/>
        <v>208.49515535683466</v>
      </c>
      <c r="AM66" s="5">
        <f t="shared" si="59"/>
        <v>179.8142879532501</v>
      </c>
      <c r="BI66">
        <v>2015</v>
      </c>
      <c r="BJ66">
        <v>11954.117982146578</v>
      </c>
    </row>
    <row r="67" spans="6:62" x14ac:dyDescent="0.2">
      <c r="F67" t="str">
        <f t="shared" si="52"/>
        <v>337</v>
      </c>
      <c r="G67">
        <f>MECS_Fuel!E260</f>
        <v>37.383822846973821</v>
      </c>
      <c r="H67" s="37">
        <f t="shared" si="36"/>
        <v>42.985850897299549</v>
      </c>
      <c r="I67" s="37">
        <f t="shared" si="37"/>
        <v>46.939987356383909</v>
      </c>
      <c r="J67">
        <f>MECS_Fuel!F260</f>
        <v>48.640156995919362</v>
      </c>
      <c r="K67" s="37">
        <f t="shared" si="38"/>
        <v>54.790411286187279</v>
      </c>
      <c r="L67" s="37">
        <f t="shared" si="39"/>
        <v>52.543324444208949</v>
      </c>
      <c r="M67">
        <f>MECS_Fuel!G260</f>
        <v>55.8843501953478</v>
      </c>
      <c r="N67" s="37">
        <f t="shared" si="40"/>
        <v>52.652898635297085</v>
      </c>
      <c r="O67" s="37">
        <f t="shared" si="41"/>
        <v>50.694628080839159</v>
      </c>
      <c r="P67">
        <f>MECS_Fuel!H260</f>
        <v>47.300771088826892</v>
      </c>
      <c r="Q67" s="37">
        <f t="shared" si="42"/>
        <v>55.003014814745541</v>
      </c>
      <c r="R67" s="37">
        <f t="shared" si="43"/>
        <v>51.030768858049989</v>
      </c>
      <c r="S67" s="37">
        <f t="shared" si="44"/>
        <v>51.656782449462625</v>
      </c>
      <c r="T67">
        <f>MECS_Fuel!I260</f>
        <v>58.499848</v>
      </c>
      <c r="U67" s="37">
        <f t="shared" si="45"/>
        <v>60.507721609016151</v>
      </c>
      <c r="V67" s="37">
        <f t="shared" si="46"/>
        <v>50.020066867969469</v>
      </c>
      <c r="W67" s="37">
        <f t="shared" si="47"/>
        <v>42.856703444423736</v>
      </c>
      <c r="X67">
        <f>MECS_Fuel!J260</f>
        <v>38.904455999999996</v>
      </c>
      <c r="Y67" s="37">
        <f t="shared" si="48"/>
        <v>29.433026608129488</v>
      </c>
      <c r="Z67" s="37">
        <f t="shared" si="49"/>
        <v>28.467484332631365</v>
      </c>
      <c r="AA67" s="37">
        <f t="shared" si="50"/>
        <v>26.177017904743494</v>
      </c>
      <c r="AB67" s="18">
        <f>MECS_Fuel!K260</f>
        <v>28.391231999999999</v>
      </c>
      <c r="AC67" s="37">
        <f t="shared" si="53"/>
        <v>27.714561877145339</v>
      </c>
      <c r="AD67" s="37">
        <f t="shared" si="54"/>
        <v>21.906717243100903</v>
      </c>
      <c r="AE67" s="37">
        <f t="shared" si="55"/>
        <v>22.324842479284005</v>
      </c>
      <c r="AF67">
        <f>MECS_Fuel!L260</f>
        <v>19</v>
      </c>
      <c r="AG67" s="37">
        <f t="shared" si="56"/>
        <v>19.114039343101386</v>
      </c>
      <c r="AH67" s="37">
        <f t="shared" si="57"/>
        <v>20.810421304257442</v>
      </c>
      <c r="AI67" s="37">
        <f t="shared" si="58"/>
        <v>19.613149087444253</v>
      </c>
      <c r="AJ67">
        <f>MECS_Fuel!M260</f>
        <v>20</v>
      </c>
      <c r="AK67" s="5">
        <f t="shared" si="59"/>
        <v>30.305461091321359</v>
      </c>
      <c r="AL67" s="5">
        <f t="shared" si="59"/>
        <v>33.128867471795822</v>
      </c>
      <c r="AM67" s="5">
        <f t="shared" si="59"/>
        <v>28.943222007530053</v>
      </c>
      <c r="BI67">
        <v>2016</v>
      </c>
      <c r="BJ67">
        <v>12191.032093345204</v>
      </c>
    </row>
    <row r="68" spans="6:62" x14ac:dyDescent="0.2">
      <c r="F68" t="str">
        <f t="shared" si="52"/>
        <v>339</v>
      </c>
      <c r="G68">
        <f>MECS_Fuel!E261</f>
        <v>33.863505680901589</v>
      </c>
      <c r="H68" s="37">
        <f t="shared" si="36"/>
        <v>39.628355216449528</v>
      </c>
      <c r="I68" s="37">
        <f t="shared" si="37"/>
        <v>43.311356676392833</v>
      </c>
      <c r="J68">
        <f>MECS_Fuel!F261</f>
        <v>45.434393503358493</v>
      </c>
      <c r="K68" s="37">
        <f t="shared" si="38"/>
        <v>41.18066817037402</v>
      </c>
      <c r="L68" s="37">
        <f t="shared" si="39"/>
        <v>38.691516089207084</v>
      </c>
      <c r="M68">
        <f>MECS_Fuel!G261</f>
        <v>34.793804965135031</v>
      </c>
      <c r="N68" s="37">
        <f t="shared" si="40"/>
        <v>38.845725201786685</v>
      </c>
      <c r="O68" s="37">
        <f t="shared" si="41"/>
        <v>43.649220105879621</v>
      </c>
      <c r="P68">
        <f>MECS_Fuel!H261</f>
        <v>48.376910834473634</v>
      </c>
      <c r="Q68" s="37">
        <f t="shared" si="42"/>
        <v>54.003433472495793</v>
      </c>
      <c r="R68" s="37">
        <f t="shared" si="43"/>
        <v>44.191956365805062</v>
      </c>
      <c r="S68" s="37">
        <f t="shared" si="44"/>
        <v>42.319065802984603</v>
      </c>
      <c r="T68">
        <f>MECS_Fuel!I261</f>
        <v>47.700868</v>
      </c>
      <c r="U68" s="37">
        <f t="shared" si="45"/>
        <v>46.745155175063296</v>
      </c>
      <c r="V68" s="37">
        <f t="shared" si="46"/>
        <v>38.101014045070116</v>
      </c>
      <c r="W68" s="37">
        <f t="shared" si="47"/>
        <v>33.200659911387405</v>
      </c>
      <c r="X68">
        <f>MECS_Fuel!J261</f>
        <v>35.603912000000001</v>
      </c>
      <c r="Y68" s="37">
        <f t="shared" si="48"/>
        <v>30.337702942254708</v>
      </c>
      <c r="Z68" s="37">
        <f t="shared" si="49"/>
        <v>28.689353232890731</v>
      </c>
      <c r="AA68" s="37">
        <f t="shared" si="50"/>
        <v>27.696006039892389</v>
      </c>
      <c r="AB68" s="18">
        <f>MECS_Fuel!K261</f>
        <v>32.982075999999999</v>
      </c>
      <c r="AC68" s="37">
        <f t="shared" si="53"/>
        <v>31.838460359608138</v>
      </c>
      <c r="AD68" s="37">
        <f t="shared" si="54"/>
        <v>20.608192835341118</v>
      </c>
      <c r="AE68" s="37">
        <f t="shared" si="55"/>
        <v>22.524890856185063</v>
      </c>
      <c r="AF68">
        <f>MECS_Fuel!L261</f>
        <v>17</v>
      </c>
      <c r="AG68" s="37">
        <f t="shared" si="56"/>
        <v>20.193387797529102</v>
      </c>
      <c r="AH68" s="37">
        <f t="shared" si="57"/>
        <v>22.881220733375581</v>
      </c>
      <c r="AI68" s="37">
        <f t="shared" si="58"/>
        <v>27.617340891758243</v>
      </c>
      <c r="AJ68">
        <f>MECS_Fuel!M261</f>
        <v>28</v>
      </c>
      <c r="AK68" s="5">
        <f t="shared" si="59"/>
        <v>34.370638862344556</v>
      </c>
      <c r="AL68" s="5">
        <f t="shared" si="59"/>
        <v>39.212485077900489</v>
      </c>
      <c r="AM68" s="5">
        <f t="shared" si="59"/>
        <v>38.943663904859179</v>
      </c>
      <c r="BI68">
        <v>2017</v>
      </c>
      <c r="BJ68">
        <v>11881.290249504702</v>
      </c>
    </row>
    <row r="69" spans="6:62" x14ac:dyDescent="0.2">
      <c r="G69">
        <f>SUM(G51:G68)</f>
        <v>11405.381661116657</v>
      </c>
      <c r="H69">
        <f t="shared" ref="H69:AD69" si="60">SUM(H51:H68)</f>
        <v>11398.401338339347</v>
      </c>
      <c r="I69">
        <f t="shared" si="60"/>
        <v>11824.903702251868</v>
      </c>
      <c r="J69">
        <f t="shared" si="60"/>
        <v>13042.115484022981</v>
      </c>
      <c r="K69">
        <f t="shared" si="60"/>
        <v>13031.66415840178</v>
      </c>
      <c r="L69">
        <f t="shared" si="60"/>
        <v>13045.831639619726</v>
      </c>
      <c r="M69">
        <f t="shared" si="60"/>
        <v>12599.548369464048</v>
      </c>
      <c r="N69">
        <f t="shared" si="60"/>
        <v>12897.065482770506</v>
      </c>
      <c r="O69">
        <f t="shared" si="60"/>
        <v>13805.083603961704</v>
      </c>
      <c r="P69">
        <f t="shared" si="60"/>
        <v>13805.955934019132</v>
      </c>
      <c r="Q69">
        <f t="shared" si="60"/>
        <v>14100.248987193518</v>
      </c>
      <c r="R69">
        <f t="shared" si="60"/>
        <v>13825.46659221253</v>
      </c>
      <c r="S69">
        <f t="shared" si="60"/>
        <v>13443.556830524347</v>
      </c>
      <c r="T69">
        <f t="shared" si="60"/>
        <v>14659.114711999997</v>
      </c>
      <c r="U69">
        <f t="shared" si="60"/>
        <v>15107.987323717851</v>
      </c>
      <c r="V69">
        <f t="shared" si="60"/>
        <v>14949.547628319633</v>
      </c>
      <c r="W69">
        <f t="shared" si="60"/>
        <v>14514.588606183477</v>
      </c>
      <c r="X69">
        <f t="shared" si="60"/>
        <v>13433.641368000002</v>
      </c>
      <c r="Y69">
        <f t="shared" si="60"/>
        <v>12683.97905434305</v>
      </c>
      <c r="Z69">
        <f t="shared" si="60"/>
        <v>12662.2812968331</v>
      </c>
      <c r="AA69">
        <f t="shared" si="60"/>
        <v>12496.464302974078</v>
      </c>
      <c r="AB69">
        <f t="shared" si="60"/>
        <v>12805.585636000002</v>
      </c>
      <c r="AC69">
        <f t="shared" si="60"/>
        <v>12854.449485866866</v>
      </c>
      <c r="AD69">
        <f t="shared" si="60"/>
        <v>12079.741878083896</v>
      </c>
      <c r="AE69">
        <f>SUM(AE51:AE68)</f>
        <v>10850.372611996912</v>
      </c>
      <c r="AF69">
        <f>SUM(AF51:AF68)</f>
        <v>11795</v>
      </c>
      <c r="AG69">
        <f>SUM(AG51:AG68)</f>
        <v>11661.920733035413</v>
      </c>
      <c r="AH69">
        <f t="shared" ref="AH69:AJ69" si="61">SUM(AH51:AH68)</f>
        <v>11017.078970851395</v>
      </c>
      <c r="AI69">
        <f t="shared" si="61"/>
        <v>11929.722103697588</v>
      </c>
      <c r="AJ69">
        <f t="shared" si="61"/>
        <v>12301</v>
      </c>
      <c r="AK69">
        <f t="shared" ref="AK69:AM69" si="62">SUM(AK51:AK68)</f>
        <v>11954.117982146578</v>
      </c>
      <c r="AL69">
        <f t="shared" si="62"/>
        <v>12191.032093345204</v>
      </c>
      <c r="AM69">
        <f t="shared" si="62"/>
        <v>11881.290249504702</v>
      </c>
    </row>
    <row r="71" spans="6:62" x14ac:dyDescent="0.2">
      <c r="L71" s="4"/>
    </row>
    <row r="74" spans="6:62" x14ac:dyDescent="0.2">
      <c r="G74">
        <f>G47</f>
        <v>1985</v>
      </c>
      <c r="H74">
        <f t="shared" ref="H74:AD74" si="63">H47</f>
        <v>1986</v>
      </c>
      <c r="I74">
        <f t="shared" si="63"/>
        <v>1987</v>
      </c>
      <c r="J74">
        <f t="shared" si="63"/>
        <v>1988</v>
      </c>
      <c r="K74">
        <f t="shared" si="63"/>
        <v>1989</v>
      </c>
      <c r="L74">
        <f t="shared" si="63"/>
        <v>1990</v>
      </c>
      <c r="M74">
        <f t="shared" si="63"/>
        <v>1991</v>
      </c>
      <c r="N74">
        <f t="shared" si="63"/>
        <v>1992</v>
      </c>
      <c r="O74">
        <f t="shared" si="63"/>
        <v>1993</v>
      </c>
      <c r="P74">
        <f t="shared" si="63"/>
        <v>1994</v>
      </c>
      <c r="Q74">
        <f t="shared" si="63"/>
        <v>1995</v>
      </c>
      <c r="R74">
        <f t="shared" si="63"/>
        <v>1996</v>
      </c>
      <c r="S74">
        <f t="shared" si="63"/>
        <v>1997</v>
      </c>
      <c r="T74">
        <f t="shared" si="63"/>
        <v>1998</v>
      </c>
      <c r="U74">
        <f t="shared" si="63"/>
        <v>1999</v>
      </c>
      <c r="V74">
        <f t="shared" si="63"/>
        <v>2000</v>
      </c>
      <c r="W74">
        <f t="shared" si="63"/>
        <v>2001</v>
      </c>
      <c r="X74">
        <f t="shared" si="63"/>
        <v>2002</v>
      </c>
      <c r="Y74">
        <f t="shared" si="63"/>
        <v>2003</v>
      </c>
      <c r="Z74">
        <f t="shared" si="63"/>
        <v>2004</v>
      </c>
      <c r="AA74">
        <f t="shared" si="63"/>
        <v>2005</v>
      </c>
      <c r="AB74">
        <f t="shared" si="63"/>
        <v>2006</v>
      </c>
      <c r="AC74">
        <f t="shared" si="63"/>
        <v>2007</v>
      </c>
      <c r="AD74">
        <f t="shared" si="63"/>
        <v>2008</v>
      </c>
      <c r="AE74">
        <f>AE47</f>
        <v>2009</v>
      </c>
      <c r="AF74">
        <f>AF47</f>
        <v>2010</v>
      </c>
      <c r="AG74">
        <v>2011</v>
      </c>
      <c r="AH74">
        <v>2012</v>
      </c>
      <c r="AI74">
        <v>2013</v>
      </c>
      <c r="AJ74">
        <v>2014</v>
      </c>
      <c r="AK74">
        <v>2015</v>
      </c>
      <c r="AL74">
        <v>2016</v>
      </c>
      <c r="AM74">
        <v>2017</v>
      </c>
    </row>
    <row r="75" spans="6:62" x14ac:dyDescent="0.2">
      <c r="F75" t="str">
        <f>F55</f>
        <v>322</v>
      </c>
      <c r="G75">
        <f t="shared" ref="G75:AD78" si="64">G55</f>
        <v>2017.3632372266716</v>
      </c>
      <c r="H75">
        <f t="shared" si="64"/>
        <v>1985.8799822003309</v>
      </c>
      <c r="I75">
        <f t="shared" si="64"/>
        <v>2039.394142819116</v>
      </c>
      <c r="J75">
        <f t="shared" si="64"/>
        <v>2153.9562641132611</v>
      </c>
      <c r="K75">
        <f t="shared" si="64"/>
        <v>2186.1253063093668</v>
      </c>
      <c r="L75">
        <f t="shared" si="64"/>
        <v>2232.4561523667417</v>
      </c>
      <c r="M75">
        <f t="shared" si="64"/>
        <v>2267.2367478194155</v>
      </c>
      <c r="N75">
        <f t="shared" si="64"/>
        <v>2376.8968151839495</v>
      </c>
      <c r="O75">
        <f t="shared" si="64"/>
        <v>2413.860058955303</v>
      </c>
      <c r="P75">
        <f t="shared" si="64"/>
        <v>2406.5414497255788</v>
      </c>
      <c r="Q75">
        <f t="shared" si="64"/>
        <v>2475.1031059942475</v>
      </c>
      <c r="R75">
        <f t="shared" si="64"/>
        <v>2445.7058531055864</v>
      </c>
      <c r="S75">
        <f t="shared" si="64"/>
        <v>2444.4671078929837</v>
      </c>
      <c r="T75">
        <f t="shared" si="64"/>
        <v>2503.918032</v>
      </c>
      <c r="U75">
        <f t="shared" si="64"/>
        <v>2465.1884562264563</v>
      </c>
      <c r="V75">
        <f t="shared" si="64"/>
        <v>2357.2657029108259</v>
      </c>
      <c r="W75">
        <f t="shared" si="64"/>
        <v>2298.5199852617166</v>
      </c>
      <c r="X75">
        <f t="shared" si="64"/>
        <v>2137.503764</v>
      </c>
      <c r="Y75">
        <f t="shared" si="64"/>
        <v>2062.2055493557114</v>
      </c>
      <c r="Z75">
        <f t="shared" si="64"/>
        <v>2028.3709641295484</v>
      </c>
      <c r="AA75">
        <f t="shared" si="64"/>
        <v>2041.520676975912</v>
      </c>
      <c r="AB75">
        <f t="shared" si="64"/>
        <v>2106.5685840000001</v>
      </c>
      <c r="AC75">
        <f t="shared" si="64"/>
        <v>2090.1212360058084</v>
      </c>
      <c r="AD75">
        <f t="shared" si="64"/>
        <v>1905.2774059551602</v>
      </c>
      <c r="AE75">
        <f t="shared" ref="AE75:AF78" si="65">AE55</f>
        <v>1774.044580052572</v>
      </c>
      <c r="AF75">
        <f t="shared" si="65"/>
        <v>1904</v>
      </c>
      <c r="AG75">
        <f t="shared" ref="AG75:AJ75" si="66">AG55</f>
        <v>1722.0786392639382</v>
      </c>
      <c r="AH75">
        <f t="shared" si="66"/>
        <v>1678.8466954510259</v>
      </c>
      <c r="AI75">
        <f t="shared" si="66"/>
        <v>1810.8084829965851</v>
      </c>
      <c r="AJ75">
        <f t="shared" si="66"/>
        <v>1899</v>
      </c>
      <c r="AK75">
        <f t="shared" ref="AK75:AM75" si="67">AK55</f>
        <v>1916.5339866445674</v>
      </c>
      <c r="AL75">
        <f t="shared" si="67"/>
        <v>1920.6028756718433</v>
      </c>
      <c r="AM75">
        <f t="shared" si="67"/>
        <v>1793.6389598515498</v>
      </c>
    </row>
    <row r="76" spans="6:62" x14ac:dyDescent="0.2">
      <c r="F76" t="str">
        <f>F56</f>
        <v>323</v>
      </c>
      <c r="G76">
        <f t="shared" ref="G76:U76" si="68">G56</f>
        <v>26.699079874753146</v>
      </c>
      <c r="H76">
        <f t="shared" si="68"/>
        <v>31.398684042991388</v>
      </c>
      <c r="I76">
        <f t="shared" si="68"/>
        <v>35.457031000499867</v>
      </c>
      <c r="J76">
        <f t="shared" si="68"/>
        <v>40.089746346787351</v>
      </c>
      <c r="K76">
        <f t="shared" si="68"/>
        <v>41.243633713675202</v>
      </c>
      <c r="L76">
        <f t="shared" si="68"/>
        <v>40.250360783695889</v>
      </c>
      <c r="M76">
        <f t="shared" si="68"/>
        <v>38.576483481067747</v>
      </c>
      <c r="N76">
        <f t="shared" si="68"/>
        <v>38.178392597320688</v>
      </c>
      <c r="O76">
        <f t="shared" si="68"/>
        <v>35.271440939704874</v>
      </c>
      <c r="P76">
        <f t="shared" si="68"/>
        <v>37.113573244007682</v>
      </c>
      <c r="Q76">
        <f t="shared" si="68"/>
        <v>43.188518122581051</v>
      </c>
      <c r="R76">
        <f t="shared" si="68"/>
        <v>40.33110661016218</v>
      </c>
      <c r="S76">
        <f t="shared" si="68"/>
        <v>40.608372244311404</v>
      </c>
      <c r="T76">
        <f t="shared" si="68"/>
        <v>47.004247999999997</v>
      </c>
      <c r="U76">
        <f t="shared" si="68"/>
        <v>52.164830887173935</v>
      </c>
      <c r="V76">
        <f t="shared" si="64"/>
        <v>43.975163094048298</v>
      </c>
      <c r="W76">
        <f t="shared" si="64"/>
        <v>43.927533603441304</v>
      </c>
      <c r="X76">
        <f t="shared" si="64"/>
        <v>47.795832000000004</v>
      </c>
      <c r="Y76">
        <f t="shared" si="64"/>
        <v>39.692067517161526</v>
      </c>
      <c r="Z76">
        <f t="shared" si="64"/>
        <v>39.966826921984563</v>
      </c>
      <c r="AA76">
        <f t="shared" si="64"/>
        <v>36.753303021623331</v>
      </c>
      <c r="AB76">
        <f t="shared" si="64"/>
        <v>40.374451999999998</v>
      </c>
      <c r="AC76">
        <f t="shared" si="64"/>
        <v>40.901224952433246</v>
      </c>
      <c r="AD76">
        <f t="shared" si="64"/>
        <v>32.461027328280444</v>
      </c>
      <c r="AE76">
        <f t="shared" si="65"/>
        <v>42.881660809701962</v>
      </c>
      <c r="AF76">
        <f t="shared" si="65"/>
        <v>36</v>
      </c>
      <c r="AG76">
        <f t="shared" ref="AG76:AJ76" si="69">AG56</f>
        <v>39.681746342190024</v>
      </c>
      <c r="AH76">
        <f t="shared" si="69"/>
        <v>40.886951644453283</v>
      </c>
      <c r="AI76">
        <f t="shared" si="69"/>
        <v>41.131101202521521</v>
      </c>
      <c r="AJ76">
        <f t="shared" si="69"/>
        <v>40</v>
      </c>
      <c r="AK76">
        <f t="shared" ref="AK76:AM76" si="70">AK56</f>
        <v>41.772916701739263</v>
      </c>
      <c r="AL76">
        <f t="shared" si="70"/>
        <v>48.826228708148577</v>
      </c>
      <c r="AM76">
        <f t="shared" si="70"/>
        <v>59.497184411456416</v>
      </c>
    </row>
    <row r="77" spans="6:62" x14ac:dyDescent="0.2">
      <c r="F77" t="str">
        <f>F57</f>
        <v>324</v>
      </c>
      <c r="G77">
        <f t="shared" si="64"/>
        <v>2519.6333802647096</v>
      </c>
      <c r="H77">
        <f t="shared" si="64"/>
        <v>2626.7910501830515</v>
      </c>
      <c r="I77">
        <f t="shared" si="64"/>
        <v>2540.5233690368536</v>
      </c>
      <c r="J77">
        <f t="shared" si="64"/>
        <v>3018.3157833208888</v>
      </c>
      <c r="K77">
        <f t="shared" si="64"/>
        <v>2915.2969285910458</v>
      </c>
      <c r="L77">
        <f t="shared" si="64"/>
        <v>3124.7889425288813</v>
      </c>
      <c r="M77">
        <f t="shared" si="64"/>
        <v>2884.3712617836486</v>
      </c>
      <c r="N77">
        <f t="shared" si="64"/>
        <v>2872.0335311985218</v>
      </c>
      <c r="O77">
        <f t="shared" si="64"/>
        <v>3246.9546532568111</v>
      </c>
      <c r="P77">
        <f t="shared" si="64"/>
        <v>3144.6947232151383</v>
      </c>
      <c r="Q77">
        <f t="shared" si="64"/>
        <v>3137.6429801840677</v>
      </c>
      <c r="R77">
        <f t="shared" si="64"/>
        <v>3075.4499035761555</v>
      </c>
      <c r="S77">
        <f t="shared" si="64"/>
        <v>2949.7808019834833</v>
      </c>
      <c r="T77">
        <f t="shared" si="64"/>
        <v>3495.5546920000002</v>
      </c>
      <c r="U77">
        <f t="shared" si="64"/>
        <v>3559.9686790500004</v>
      </c>
      <c r="V77">
        <f t="shared" si="64"/>
        <v>3613.8718330000002</v>
      </c>
      <c r="W77">
        <f t="shared" si="64"/>
        <v>3380.0635843649989</v>
      </c>
      <c r="X77">
        <f t="shared" si="64"/>
        <v>3075.1213680000001</v>
      </c>
      <c r="Y77">
        <f t="shared" si="64"/>
        <v>2948.1391387304238</v>
      </c>
      <c r="Z77">
        <f t="shared" si="64"/>
        <v>3025.491120124726</v>
      </c>
      <c r="AA77">
        <f t="shared" si="64"/>
        <v>3193.4321473633022</v>
      </c>
      <c r="AB77">
        <f t="shared" si="64"/>
        <v>3259.0627920000002</v>
      </c>
      <c r="AC77">
        <f t="shared" si="64"/>
        <v>3224.6173172433992</v>
      </c>
      <c r="AD77">
        <f t="shared" si="64"/>
        <v>3293.4724138945789</v>
      </c>
      <c r="AE77">
        <f t="shared" si="65"/>
        <v>2789.2590401073339</v>
      </c>
      <c r="AF77">
        <f t="shared" si="65"/>
        <v>3159</v>
      </c>
      <c r="AG77">
        <f t="shared" ref="AG77:AJ77" si="71">AG57</f>
        <v>3119.7773525461766</v>
      </c>
      <c r="AH77">
        <f t="shared" si="71"/>
        <v>2948.0452954146526</v>
      </c>
      <c r="AI77">
        <f t="shared" si="71"/>
        <v>3141.97711054922</v>
      </c>
      <c r="AJ77">
        <f t="shared" si="71"/>
        <v>3346</v>
      </c>
      <c r="AK77">
        <f t="shared" ref="AK77:AM77" si="72">AK57</f>
        <v>2662.5075454970774</v>
      </c>
      <c r="AL77">
        <f t="shared" si="72"/>
        <v>2393.0286293869767</v>
      </c>
      <c r="AM77">
        <f t="shared" si="72"/>
        <v>2653.5491863240372</v>
      </c>
    </row>
    <row r="78" spans="6:62" x14ac:dyDescent="0.2">
      <c r="F78" t="str">
        <f>F58</f>
        <v>325</v>
      </c>
      <c r="G78">
        <f t="shared" si="64"/>
        <v>1982.3306729500532</v>
      </c>
      <c r="H78">
        <f t="shared" si="64"/>
        <v>1831.8447835330508</v>
      </c>
      <c r="I78">
        <f t="shared" si="64"/>
        <v>2195.6054591308875</v>
      </c>
      <c r="J78">
        <f t="shared" si="64"/>
        <v>2425.2974275342949</v>
      </c>
      <c r="K78">
        <f t="shared" si="64"/>
        <v>2499.3203693504865</v>
      </c>
      <c r="L78">
        <f t="shared" si="64"/>
        <v>2517.1130386253217</v>
      </c>
      <c r="M78">
        <f t="shared" si="64"/>
        <v>2577.2858974832011</v>
      </c>
      <c r="N78">
        <f t="shared" si="64"/>
        <v>2632.2200280541119</v>
      </c>
      <c r="O78">
        <f t="shared" si="64"/>
        <v>2820.3739697938513</v>
      </c>
      <c r="P78">
        <f t="shared" si="64"/>
        <v>2729.1714558311169</v>
      </c>
      <c r="Q78">
        <f t="shared" si="64"/>
        <v>2877.6037699885965</v>
      </c>
      <c r="R78">
        <f t="shared" si="64"/>
        <v>2983.4361586099817</v>
      </c>
      <c r="S78">
        <f t="shared" si="64"/>
        <v>2817.9117757813692</v>
      </c>
      <c r="T78">
        <f t="shared" si="64"/>
        <v>3126.5770039999998</v>
      </c>
      <c r="U78">
        <f t="shared" si="64"/>
        <v>3498.9703549895826</v>
      </c>
      <c r="V78">
        <f t="shared" si="64"/>
        <v>3615.6959010259156</v>
      </c>
      <c r="W78">
        <f t="shared" si="64"/>
        <v>3551.4100552177861</v>
      </c>
      <c r="X78">
        <f t="shared" si="64"/>
        <v>3246.609152</v>
      </c>
      <c r="Y78">
        <f t="shared" si="64"/>
        <v>2888.0664643530986</v>
      </c>
      <c r="Z78">
        <f t="shared" si="64"/>
        <v>2813.8843609137466</v>
      </c>
      <c r="AA78">
        <f t="shared" si="64"/>
        <v>2732.1209966405363</v>
      </c>
      <c r="AB78">
        <f t="shared" si="64"/>
        <v>2677.7578599999997</v>
      </c>
      <c r="AC78">
        <f t="shared" si="64"/>
        <v>2785.9559975493548</v>
      </c>
      <c r="AD78">
        <f t="shared" si="64"/>
        <v>2693.658556429019</v>
      </c>
      <c r="AE78">
        <f t="shared" si="65"/>
        <v>2420.7850783001531</v>
      </c>
      <c r="AF78">
        <f t="shared" si="65"/>
        <v>2772</v>
      </c>
      <c r="AG78">
        <f t="shared" ref="AG78:AJ78" si="73">AG58</f>
        <v>2865.8842342198377</v>
      </c>
      <c r="AH78">
        <f t="shared" si="73"/>
        <v>2721.4162617878787</v>
      </c>
      <c r="AI78">
        <f t="shared" si="73"/>
        <v>3072.8614151678034</v>
      </c>
      <c r="AJ78">
        <f t="shared" si="73"/>
        <v>3069</v>
      </c>
      <c r="AK78">
        <f t="shared" ref="AK78:AM78" si="74">AK58</f>
        <v>3261.3093142911703</v>
      </c>
      <c r="AL78">
        <f t="shared" si="74"/>
        <v>3611.5291991229756</v>
      </c>
      <c r="AM78">
        <f t="shared" si="74"/>
        <v>3286.1766212997227</v>
      </c>
    </row>
    <row r="96" spans="7:39" x14ac:dyDescent="0.2">
      <c r="G96">
        <f t="shared" ref="G96:AD96" si="75">G74</f>
        <v>1985</v>
      </c>
      <c r="H96">
        <f t="shared" si="75"/>
        <v>1986</v>
      </c>
      <c r="I96">
        <f t="shared" si="75"/>
        <v>1987</v>
      </c>
      <c r="J96">
        <f t="shared" si="75"/>
        <v>1988</v>
      </c>
      <c r="K96">
        <f t="shared" si="75"/>
        <v>1989</v>
      </c>
      <c r="L96">
        <f t="shared" si="75"/>
        <v>1990</v>
      </c>
      <c r="M96">
        <f t="shared" si="75"/>
        <v>1991</v>
      </c>
      <c r="N96">
        <f t="shared" si="75"/>
        <v>1992</v>
      </c>
      <c r="O96">
        <f t="shared" si="75"/>
        <v>1993</v>
      </c>
      <c r="P96">
        <f t="shared" si="75"/>
        <v>1994</v>
      </c>
      <c r="Q96">
        <f t="shared" si="75"/>
        <v>1995</v>
      </c>
      <c r="R96">
        <f t="shared" si="75"/>
        <v>1996</v>
      </c>
      <c r="S96">
        <f t="shared" si="75"/>
        <v>1997</v>
      </c>
      <c r="T96">
        <f t="shared" si="75"/>
        <v>1998</v>
      </c>
      <c r="U96">
        <f t="shared" si="75"/>
        <v>1999</v>
      </c>
      <c r="V96">
        <f t="shared" si="75"/>
        <v>2000</v>
      </c>
      <c r="W96">
        <f t="shared" si="75"/>
        <v>2001</v>
      </c>
      <c r="X96">
        <f t="shared" si="75"/>
        <v>2002</v>
      </c>
      <c r="Y96">
        <f t="shared" si="75"/>
        <v>2003</v>
      </c>
      <c r="Z96">
        <f t="shared" si="75"/>
        <v>2004</v>
      </c>
      <c r="AA96">
        <f t="shared" si="75"/>
        <v>2005</v>
      </c>
      <c r="AB96">
        <f t="shared" si="75"/>
        <v>2006</v>
      </c>
      <c r="AC96">
        <f t="shared" si="75"/>
        <v>2007</v>
      </c>
      <c r="AD96">
        <f t="shared" si="75"/>
        <v>2008</v>
      </c>
      <c r="AE96">
        <f>AE74</f>
        <v>2009</v>
      </c>
      <c r="AF96">
        <f>AF74</f>
        <v>2010</v>
      </c>
      <c r="AG96">
        <f>AG74</f>
        <v>2011</v>
      </c>
      <c r="AH96">
        <f t="shared" ref="AH96:AJ96" si="76">AH74</f>
        <v>2012</v>
      </c>
      <c r="AI96">
        <f t="shared" si="76"/>
        <v>2013</v>
      </c>
      <c r="AJ96">
        <f t="shared" si="76"/>
        <v>2014</v>
      </c>
      <c r="AK96">
        <f t="shared" ref="AK96:AM96" si="77">AK74</f>
        <v>2015</v>
      </c>
      <c r="AL96">
        <f t="shared" si="77"/>
        <v>2016</v>
      </c>
      <c r="AM96">
        <f t="shared" si="77"/>
        <v>2017</v>
      </c>
    </row>
    <row r="97" spans="6:39" x14ac:dyDescent="0.2">
      <c r="F97" t="str">
        <f t="shared" ref="F97:AD97" si="78">F59</f>
        <v>326</v>
      </c>
      <c r="G97">
        <f t="shared" si="78"/>
        <v>128.43055874180072</v>
      </c>
      <c r="H97">
        <f t="shared" si="78"/>
        <v>135.02187702867309</v>
      </c>
      <c r="I97">
        <f t="shared" si="78"/>
        <v>151.42293972634729</v>
      </c>
      <c r="J97">
        <f t="shared" si="78"/>
        <v>150.36582650079393</v>
      </c>
      <c r="K97">
        <f t="shared" si="78"/>
        <v>156.13332627095838</v>
      </c>
      <c r="L97">
        <f t="shared" si="78"/>
        <v>135.02276624658089</v>
      </c>
      <c r="M97">
        <f t="shared" si="78"/>
        <v>125.61488437265322</v>
      </c>
      <c r="N97">
        <f t="shared" si="78"/>
        <v>132.95089229393827</v>
      </c>
      <c r="O97">
        <f t="shared" si="78"/>
        <v>136.77256011490636</v>
      </c>
      <c r="P97">
        <f t="shared" si="78"/>
        <v>141.58522460569185</v>
      </c>
      <c r="Q97">
        <f t="shared" si="78"/>
        <v>151.80278514264387</v>
      </c>
      <c r="R97">
        <f t="shared" si="78"/>
        <v>145.59186602176126</v>
      </c>
      <c r="S97">
        <f t="shared" si="78"/>
        <v>135.30020215581013</v>
      </c>
      <c r="T97">
        <f t="shared" si="78"/>
        <v>144.39999600000002</v>
      </c>
      <c r="U97">
        <f t="shared" si="78"/>
        <v>163.77373974259751</v>
      </c>
      <c r="V97">
        <f t="shared" si="78"/>
        <v>170.55457311273068</v>
      </c>
      <c r="W97">
        <f t="shared" si="78"/>
        <v>170.96821812825092</v>
      </c>
      <c r="X97">
        <f t="shared" si="78"/>
        <v>166.54642800000002</v>
      </c>
      <c r="Y97">
        <f t="shared" si="78"/>
        <v>162.38700858836174</v>
      </c>
      <c r="Z97">
        <f t="shared" si="78"/>
        <v>156.34521408513098</v>
      </c>
      <c r="AA97">
        <f t="shared" si="78"/>
        <v>150.24560489044413</v>
      </c>
      <c r="AB97">
        <f t="shared" si="78"/>
        <v>153.785552</v>
      </c>
      <c r="AC97">
        <f t="shared" si="78"/>
        <v>143.10994103075981</v>
      </c>
      <c r="AD97">
        <f t="shared" si="78"/>
        <v>118.89421130373546</v>
      </c>
      <c r="AE97">
        <f t="shared" ref="AE97:AF100" si="79">AE59</f>
        <v>111.58171088640285</v>
      </c>
      <c r="AF97">
        <f t="shared" si="79"/>
        <v>116</v>
      </c>
      <c r="AG97">
        <f t="shared" ref="AG97:AJ97" si="80">AG59</f>
        <v>114.33836166733738</v>
      </c>
      <c r="AH97">
        <f t="shared" si="80"/>
        <v>109.54490865472242</v>
      </c>
      <c r="AI97">
        <f t="shared" si="80"/>
        <v>111.07562545949031</v>
      </c>
      <c r="AJ97">
        <f t="shared" si="80"/>
        <v>104</v>
      </c>
      <c r="AK97">
        <f t="shared" ref="AK97:AM97" si="81">AK59</f>
        <v>118.14538873303597</v>
      </c>
      <c r="AL97">
        <f t="shared" si="81"/>
        <v>134.51930028316804</v>
      </c>
      <c r="AM97">
        <f t="shared" si="81"/>
        <v>157.39604481768811</v>
      </c>
    </row>
    <row r="98" spans="6:39" x14ac:dyDescent="0.2">
      <c r="F98" t="str">
        <f t="shared" ref="F98:AD98" si="82">F60</f>
        <v>327</v>
      </c>
      <c r="G98">
        <f t="shared" si="82"/>
        <v>791.01545520082436</v>
      </c>
      <c r="H98">
        <f t="shared" si="82"/>
        <v>833.84549437982139</v>
      </c>
      <c r="I98">
        <f t="shared" si="82"/>
        <v>865.36110422201477</v>
      </c>
      <c r="J98">
        <f t="shared" si="82"/>
        <v>884.64406029384702</v>
      </c>
      <c r="K98">
        <f t="shared" si="82"/>
        <v>872.26871686531888</v>
      </c>
      <c r="L98">
        <f t="shared" si="82"/>
        <v>839.79715936733282</v>
      </c>
      <c r="M98">
        <f t="shared" si="82"/>
        <v>788.81428212035598</v>
      </c>
      <c r="N98">
        <f t="shared" si="82"/>
        <v>834.39754001449057</v>
      </c>
      <c r="O98">
        <f t="shared" si="82"/>
        <v>866.94246720947717</v>
      </c>
      <c r="P98">
        <f t="shared" si="82"/>
        <v>822.05619657793363</v>
      </c>
      <c r="Q98">
        <f t="shared" si="82"/>
        <v>836.37810053118699</v>
      </c>
      <c r="R98">
        <f t="shared" si="82"/>
        <v>768.59394669215737</v>
      </c>
      <c r="S98">
        <f t="shared" si="82"/>
        <v>781.48054541412921</v>
      </c>
      <c r="T98">
        <f t="shared" si="82"/>
        <v>834.98687599999994</v>
      </c>
      <c r="U98">
        <f t="shared" si="82"/>
        <v>887.75742962271181</v>
      </c>
      <c r="V98">
        <f t="shared" si="82"/>
        <v>860.3030388807673</v>
      </c>
      <c r="W98">
        <f t="shared" si="82"/>
        <v>844.57954689595817</v>
      </c>
      <c r="X98">
        <f t="shared" si="82"/>
        <v>910.76708400000007</v>
      </c>
      <c r="Y98">
        <f t="shared" si="82"/>
        <v>843.66258808021871</v>
      </c>
      <c r="Z98">
        <f t="shared" si="82"/>
        <v>846.35668023327139</v>
      </c>
      <c r="AA98">
        <f t="shared" si="82"/>
        <v>887.23108283057456</v>
      </c>
      <c r="AB98">
        <f t="shared" si="82"/>
        <v>958.36588800000004</v>
      </c>
      <c r="AC98">
        <f t="shared" si="82"/>
        <v>888.6890971564701</v>
      </c>
      <c r="AD98">
        <f t="shared" si="82"/>
        <v>744.58615673498946</v>
      </c>
      <c r="AE98">
        <f t="shared" si="79"/>
        <v>646.20773136287312</v>
      </c>
      <c r="AF98">
        <f t="shared" si="79"/>
        <v>600</v>
      </c>
      <c r="AG98">
        <f t="shared" ref="AG98:AJ98" si="83">AG60</f>
        <v>611.9249777848737</v>
      </c>
      <c r="AH98">
        <f t="shared" si="83"/>
        <v>624.0796384681654</v>
      </c>
      <c r="AI98">
        <f t="shared" si="83"/>
        <v>679.69946888069933</v>
      </c>
      <c r="AJ98">
        <f t="shared" si="83"/>
        <v>699</v>
      </c>
      <c r="AK98">
        <f t="shared" ref="AK98:AM98" si="84">AK60</f>
        <v>721.54524566856969</v>
      </c>
      <c r="AL98">
        <f t="shared" si="84"/>
        <v>777.91367304417702</v>
      </c>
      <c r="AM98">
        <f t="shared" si="84"/>
        <v>714.07677883262534</v>
      </c>
    </row>
    <row r="99" spans="6:39" x14ac:dyDescent="0.2">
      <c r="F99" t="str">
        <f t="shared" ref="F99:AD99" si="85">F61</f>
        <v>331</v>
      </c>
      <c r="G99">
        <f t="shared" si="85"/>
        <v>1931.5726855408925</v>
      </c>
      <c r="H99">
        <f t="shared" si="85"/>
        <v>1819.4681276410374</v>
      </c>
      <c r="I99">
        <f t="shared" si="85"/>
        <v>1819.8952963174174</v>
      </c>
      <c r="J99">
        <f t="shared" si="85"/>
        <v>2134.8918237453663</v>
      </c>
      <c r="K99">
        <f t="shared" si="85"/>
        <v>2135.9489196898717</v>
      </c>
      <c r="L99">
        <f t="shared" si="85"/>
        <v>2058.910056035751</v>
      </c>
      <c r="M99">
        <f t="shared" si="85"/>
        <v>1811.54797443144</v>
      </c>
      <c r="N99">
        <f t="shared" si="85"/>
        <v>1860.7007555363432</v>
      </c>
      <c r="O99">
        <f t="shared" si="85"/>
        <v>1980.5512991134312</v>
      </c>
      <c r="P99">
        <f t="shared" si="85"/>
        <v>2096.657607556745</v>
      </c>
      <c r="Q99">
        <f t="shared" si="85"/>
        <v>2018.3220014173257</v>
      </c>
      <c r="R99">
        <f t="shared" si="85"/>
        <v>2087.7303780101934</v>
      </c>
      <c r="S99">
        <f t="shared" si="85"/>
        <v>2032.416827386887</v>
      </c>
      <c r="T99">
        <f t="shared" si="85"/>
        <v>2031.356088</v>
      </c>
      <c r="U99">
        <f t="shared" si="85"/>
        <v>1927.9607115402796</v>
      </c>
      <c r="V99">
        <f t="shared" si="85"/>
        <v>1984.8032031815608</v>
      </c>
      <c r="W99">
        <f t="shared" si="85"/>
        <v>1881.1112478914877</v>
      </c>
      <c r="X99">
        <f t="shared" si="85"/>
        <v>1629.9591760000001</v>
      </c>
      <c r="Y99">
        <f t="shared" si="85"/>
        <v>1681.9663811639548</v>
      </c>
      <c r="Z99">
        <f t="shared" si="85"/>
        <v>1709.7117812587637</v>
      </c>
      <c r="AA99">
        <f t="shared" si="85"/>
        <v>1414.7412336622619</v>
      </c>
      <c r="AB99">
        <f t="shared" si="85"/>
        <v>1285.6831</v>
      </c>
      <c r="AC99">
        <f t="shared" si="85"/>
        <v>1398.596658536504</v>
      </c>
      <c r="AD99">
        <f t="shared" si="85"/>
        <v>1367.2205669627242</v>
      </c>
      <c r="AE99">
        <f t="shared" si="79"/>
        <v>960.90080405798346</v>
      </c>
      <c r="AF99">
        <f t="shared" si="79"/>
        <v>1255</v>
      </c>
      <c r="AG99">
        <f t="shared" ref="AG99:AJ99" si="86">AG61</f>
        <v>1260.1959118059083</v>
      </c>
      <c r="AH99">
        <f t="shared" si="86"/>
        <v>1098.7242374193011</v>
      </c>
      <c r="AI99">
        <f t="shared" si="86"/>
        <v>1200.1910170523031</v>
      </c>
      <c r="AJ99">
        <f t="shared" si="86"/>
        <v>1251</v>
      </c>
      <c r="AK99">
        <f t="shared" ref="AK99:AM99" si="87">AK61</f>
        <v>1037.5190144924757</v>
      </c>
      <c r="AL99">
        <f t="shared" si="87"/>
        <v>971.67780208199395</v>
      </c>
      <c r="AM99">
        <f t="shared" si="87"/>
        <v>984.99162402591401</v>
      </c>
    </row>
    <row r="100" spans="6:39" x14ac:dyDescent="0.2">
      <c r="F100" t="str">
        <f t="shared" ref="F100:AD100" si="88">F62</f>
        <v>332</v>
      </c>
      <c r="G100">
        <f t="shared" si="88"/>
        <v>218.6220851003327</v>
      </c>
      <c r="H100">
        <f t="shared" si="88"/>
        <v>236.43141790334087</v>
      </c>
      <c r="I100">
        <f t="shared" si="88"/>
        <v>242.60813301921721</v>
      </c>
      <c r="J100">
        <f t="shared" si="88"/>
        <v>251.14969713900282</v>
      </c>
      <c r="K100">
        <f t="shared" si="88"/>
        <v>241.61252681571094</v>
      </c>
      <c r="L100">
        <f t="shared" si="88"/>
        <v>222.61909858361435</v>
      </c>
      <c r="M100">
        <f t="shared" si="88"/>
        <v>217.28105279356296</v>
      </c>
      <c r="N100">
        <f t="shared" si="88"/>
        <v>221.51344199750795</v>
      </c>
      <c r="O100">
        <f t="shared" si="88"/>
        <v>238.70978614279537</v>
      </c>
      <c r="P100">
        <f t="shared" si="88"/>
        <v>263.57968281835372</v>
      </c>
      <c r="Q100">
        <f t="shared" si="88"/>
        <v>289.62365431759213</v>
      </c>
      <c r="R100">
        <f t="shared" si="88"/>
        <v>248.28781667305427</v>
      </c>
      <c r="S100">
        <f t="shared" si="88"/>
        <v>234.68145352408129</v>
      </c>
      <c r="T100">
        <f t="shared" si="88"/>
        <v>265.28541200000001</v>
      </c>
      <c r="U100">
        <f t="shared" si="88"/>
        <v>288.74371654908276</v>
      </c>
      <c r="V100">
        <f t="shared" si="88"/>
        <v>253.16629233678722</v>
      </c>
      <c r="W100">
        <f t="shared" si="88"/>
        <v>236.80312759318167</v>
      </c>
      <c r="X100">
        <f t="shared" si="88"/>
        <v>226.21632399999999</v>
      </c>
      <c r="Y100">
        <f t="shared" si="88"/>
        <v>210.87604467529428</v>
      </c>
      <c r="Z100">
        <f t="shared" si="88"/>
        <v>206.00060290700236</v>
      </c>
      <c r="AA100">
        <f t="shared" si="88"/>
        <v>209.91812999611622</v>
      </c>
      <c r="AB100">
        <f t="shared" si="88"/>
        <v>253.81542000000002</v>
      </c>
      <c r="AC100">
        <f t="shared" si="88"/>
        <v>236.27608038255704</v>
      </c>
      <c r="AD100">
        <f t="shared" si="88"/>
        <v>186.52536210085808</v>
      </c>
      <c r="AE100">
        <f t="shared" si="79"/>
        <v>192.36823377378479</v>
      </c>
      <c r="AF100">
        <f t="shared" si="79"/>
        <v>174</v>
      </c>
      <c r="AG100">
        <f t="shared" ref="AG100:AJ100" si="89">AG62</f>
        <v>188.724641806542</v>
      </c>
      <c r="AH100">
        <f t="shared" si="89"/>
        <v>193.8473245114659</v>
      </c>
      <c r="AI100">
        <f t="shared" si="89"/>
        <v>197.31845463184905</v>
      </c>
      <c r="AJ100">
        <f t="shared" si="89"/>
        <v>201</v>
      </c>
      <c r="AK100">
        <f t="shared" ref="AK100:AM100" si="90">AK62</f>
        <v>243.17904468805639</v>
      </c>
      <c r="AL100">
        <f t="shared" si="90"/>
        <v>263.59014611965085</v>
      </c>
      <c r="AM100">
        <f t="shared" si="90"/>
        <v>244.97167709150528</v>
      </c>
    </row>
    <row r="117" spans="6:39" x14ac:dyDescent="0.2">
      <c r="G117">
        <f>G74</f>
        <v>1985</v>
      </c>
      <c r="H117">
        <f t="shared" ref="H117:AD117" si="91">H74</f>
        <v>1986</v>
      </c>
      <c r="I117">
        <f t="shared" si="91"/>
        <v>1987</v>
      </c>
      <c r="J117">
        <f t="shared" si="91"/>
        <v>1988</v>
      </c>
      <c r="K117">
        <f t="shared" si="91"/>
        <v>1989</v>
      </c>
      <c r="L117">
        <f t="shared" si="91"/>
        <v>1990</v>
      </c>
      <c r="M117">
        <f t="shared" si="91"/>
        <v>1991</v>
      </c>
      <c r="N117">
        <f t="shared" si="91"/>
        <v>1992</v>
      </c>
      <c r="O117">
        <f t="shared" si="91"/>
        <v>1993</v>
      </c>
      <c r="P117">
        <f t="shared" si="91"/>
        <v>1994</v>
      </c>
      <c r="Q117">
        <f t="shared" si="91"/>
        <v>1995</v>
      </c>
      <c r="R117">
        <f t="shared" si="91"/>
        <v>1996</v>
      </c>
      <c r="S117">
        <f t="shared" si="91"/>
        <v>1997</v>
      </c>
      <c r="T117">
        <f t="shared" si="91"/>
        <v>1998</v>
      </c>
      <c r="U117">
        <f t="shared" si="91"/>
        <v>1999</v>
      </c>
      <c r="V117">
        <f t="shared" si="91"/>
        <v>2000</v>
      </c>
      <c r="W117">
        <f t="shared" si="91"/>
        <v>2001</v>
      </c>
      <c r="X117">
        <f t="shared" si="91"/>
        <v>2002</v>
      </c>
      <c r="Y117">
        <f t="shared" si="91"/>
        <v>2003</v>
      </c>
      <c r="Z117">
        <f t="shared" si="91"/>
        <v>2004</v>
      </c>
      <c r="AA117">
        <f t="shared" si="91"/>
        <v>2005</v>
      </c>
      <c r="AB117">
        <f t="shared" si="91"/>
        <v>2006</v>
      </c>
      <c r="AC117">
        <f t="shared" si="91"/>
        <v>2007</v>
      </c>
      <c r="AD117">
        <f t="shared" si="91"/>
        <v>2008</v>
      </c>
      <c r="AE117">
        <f>AE74</f>
        <v>2009</v>
      </c>
      <c r="AF117">
        <f>AF74</f>
        <v>2010</v>
      </c>
      <c r="AG117">
        <f>AG74</f>
        <v>2011</v>
      </c>
      <c r="AH117">
        <f t="shared" ref="AH117:AJ117" si="92">AH74</f>
        <v>2012</v>
      </c>
      <c r="AI117">
        <f t="shared" si="92"/>
        <v>2013</v>
      </c>
      <c r="AJ117">
        <f t="shared" si="92"/>
        <v>2014</v>
      </c>
      <c r="AK117">
        <f t="shared" ref="AK117" si="93">AK74</f>
        <v>2015</v>
      </c>
      <c r="AL117">
        <v>2016</v>
      </c>
      <c r="AM117">
        <v>2017</v>
      </c>
    </row>
    <row r="118" spans="6:39" x14ac:dyDescent="0.2">
      <c r="F118" t="str">
        <f>F63</f>
        <v>333</v>
      </c>
      <c r="G118">
        <f>G63</f>
        <v>118.55685257512636</v>
      </c>
      <c r="H118">
        <f t="shared" ref="H118:AD118" si="94">H63</f>
        <v>131.76262360948817</v>
      </c>
      <c r="I118">
        <f t="shared" si="94"/>
        <v>133.59407668064966</v>
      </c>
      <c r="J118">
        <f t="shared" si="94"/>
        <v>138.88393804304263</v>
      </c>
      <c r="K118">
        <f t="shared" si="94"/>
        <v>135.84765730352257</v>
      </c>
      <c r="L118">
        <f t="shared" si="94"/>
        <v>120.63206911012374</v>
      </c>
      <c r="M118">
        <f t="shared" si="94"/>
        <v>113.47965946591772</v>
      </c>
      <c r="N118">
        <f t="shared" si="94"/>
        <v>107.05467343210731</v>
      </c>
      <c r="O118">
        <f t="shared" si="94"/>
        <v>108.0675573372492</v>
      </c>
      <c r="P118">
        <f t="shared" si="94"/>
        <v>112.92234511482371</v>
      </c>
      <c r="Q118">
        <f t="shared" si="94"/>
        <v>126.83165939971266</v>
      </c>
      <c r="R118">
        <f t="shared" si="94"/>
        <v>112.60870645818754</v>
      </c>
      <c r="S118">
        <f t="shared" si="94"/>
        <v>106.43670136428443</v>
      </c>
      <c r="T118">
        <f t="shared" si="94"/>
        <v>116.85666400000001</v>
      </c>
      <c r="U118">
        <f t="shared" si="94"/>
        <v>123.53689957565348</v>
      </c>
      <c r="V118">
        <f t="shared" si="94"/>
        <v>105.82598083764137</v>
      </c>
      <c r="W118">
        <f t="shared" si="94"/>
        <v>100.6870972290484</v>
      </c>
      <c r="X118">
        <f t="shared" si="94"/>
        <v>91.191044000000005</v>
      </c>
      <c r="Y118">
        <f t="shared" si="94"/>
        <v>77.406168726625395</v>
      </c>
      <c r="Z118">
        <f t="shared" si="94"/>
        <v>80.038938927797375</v>
      </c>
      <c r="AA118">
        <f t="shared" si="94"/>
        <v>81.01961365117613</v>
      </c>
      <c r="AB118">
        <f t="shared" si="94"/>
        <v>93.471671999999998</v>
      </c>
      <c r="AC118">
        <f t="shared" si="94"/>
        <v>100.2520387130355</v>
      </c>
      <c r="AD118">
        <f t="shared" si="94"/>
        <v>78.853051261641937</v>
      </c>
      <c r="AE118">
        <f t="shared" ref="AE118:AF121" si="95">AE63</f>
        <v>87.825004558862744</v>
      </c>
      <c r="AF118">
        <f t="shared" si="95"/>
        <v>78</v>
      </c>
      <c r="AG118">
        <f t="shared" ref="AG118:AJ118" si="96">AG63</f>
        <v>87.855529195606763</v>
      </c>
      <c r="AH118">
        <f t="shared" si="96"/>
        <v>83.277537047934089</v>
      </c>
      <c r="AI118">
        <f t="shared" si="96"/>
        <v>85.159713195512765</v>
      </c>
      <c r="AJ118">
        <f t="shared" si="96"/>
        <v>84</v>
      </c>
      <c r="AK118">
        <f t="shared" ref="AK118:AM118" si="97">AK63</f>
        <v>91.210008731150793</v>
      </c>
      <c r="AL118">
        <f t="shared" si="97"/>
        <v>95.547646245422513</v>
      </c>
      <c r="AM118">
        <f t="shared" si="97"/>
        <v>93.885723189927347</v>
      </c>
    </row>
    <row r="119" spans="6:39" x14ac:dyDescent="0.2">
      <c r="F119" t="str">
        <f t="shared" ref="F119:G121" si="98">F64</f>
        <v>334</v>
      </c>
      <c r="G119">
        <f t="shared" si="98"/>
        <v>54.789455724294967</v>
      </c>
      <c r="H119">
        <f t="shared" ref="H119:AD119" si="99">H64</f>
        <v>56.773381394787812</v>
      </c>
      <c r="I119">
        <f t="shared" si="99"/>
        <v>60.400035479019486</v>
      </c>
      <c r="J119">
        <f t="shared" si="99"/>
        <v>62.693189717341816</v>
      </c>
      <c r="K119">
        <f t="shared" si="99"/>
        <v>62.697248115282292</v>
      </c>
      <c r="L119">
        <f t="shared" si="99"/>
        <v>58.165999612572094</v>
      </c>
      <c r="M119">
        <f t="shared" si="99"/>
        <v>56.220714404637988</v>
      </c>
      <c r="N119">
        <f t="shared" si="99"/>
        <v>60.22308177563918</v>
      </c>
      <c r="O119">
        <f t="shared" si="99"/>
        <v>64.59076180040033</v>
      </c>
      <c r="P119">
        <f t="shared" si="99"/>
        <v>66.930484972733723</v>
      </c>
      <c r="Q119">
        <f t="shared" si="99"/>
        <v>73.038453387793254</v>
      </c>
      <c r="R119">
        <f t="shared" si="99"/>
        <v>72.049060260742735</v>
      </c>
      <c r="S119">
        <f t="shared" si="99"/>
        <v>65.619117583298419</v>
      </c>
      <c r="T119">
        <f t="shared" si="99"/>
        <v>67.813715999999999</v>
      </c>
      <c r="U119">
        <f t="shared" si="99"/>
        <v>75.412349760347183</v>
      </c>
      <c r="V119">
        <f t="shared" si="99"/>
        <v>77.55543180251361</v>
      </c>
      <c r="W119">
        <f t="shared" si="99"/>
        <v>65.334678752934266</v>
      </c>
      <c r="X119">
        <f t="shared" si="99"/>
        <v>69.142976000000004</v>
      </c>
      <c r="Y119">
        <f t="shared" si="99"/>
        <v>51.968914187404209</v>
      </c>
      <c r="Z119">
        <f t="shared" si="99"/>
        <v>42.613564787609363</v>
      </c>
      <c r="AA119">
        <f t="shared" si="99"/>
        <v>42.539054285313028</v>
      </c>
      <c r="AB119">
        <f t="shared" si="99"/>
        <v>47.139291999999998</v>
      </c>
      <c r="AC119">
        <f t="shared" si="99"/>
        <v>59.317149731278079</v>
      </c>
      <c r="AD119">
        <f t="shared" si="99"/>
        <v>43.705219316728574</v>
      </c>
      <c r="AE119">
        <f t="shared" si="95"/>
        <v>43.349239751799061</v>
      </c>
      <c r="AF119">
        <f t="shared" si="95"/>
        <v>43</v>
      </c>
      <c r="AG119">
        <f t="shared" ref="AG119:AJ119" si="100">AG64</f>
        <v>49.219159610574309</v>
      </c>
      <c r="AH119">
        <f t="shared" si="100"/>
        <v>52.591791695115887</v>
      </c>
      <c r="AI119">
        <f t="shared" si="100"/>
        <v>49.834979659611527</v>
      </c>
      <c r="AJ119">
        <f t="shared" si="100"/>
        <v>50</v>
      </c>
      <c r="AK119">
        <f t="shared" ref="AK119:AM119" si="101">AK64</f>
        <v>67.394282393857807</v>
      </c>
      <c r="AL119">
        <f t="shared" si="101"/>
        <v>78.148456594430797</v>
      </c>
      <c r="AM119">
        <f t="shared" si="101"/>
        <v>115.00668055372442</v>
      </c>
    </row>
    <row r="120" spans="6:39" x14ac:dyDescent="0.2">
      <c r="F120" t="str">
        <f t="shared" si="98"/>
        <v>335</v>
      </c>
      <c r="G120">
        <f t="shared" si="98"/>
        <v>62.919467623803939</v>
      </c>
      <c r="H120">
        <f t="shared" ref="H120:AD120" si="102">H65</f>
        <v>69.916919680982033</v>
      </c>
      <c r="I120">
        <f t="shared" si="102"/>
        <v>67.361584373291663</v>
      </c>
      <c r="J120">
        <f t="shared" si="102"/>
        <v>64.55717435203718</v>
      </c>
      <c r="K120">
        <f t="shared" si="102"/>
        <v>64.994227835018435</v>
      </c>
      <c r="L120">
        <f t="shared" si="102"/>
        <v>57.975944538459906</v>
      </c>
      <c r="M120">
        <f t="shared" si="102"/>
        <v>55.611292613491038</v>
      </c>
      <c r="N120">
        <f t="shared" si="102"/>
        <v>57.234985489425249</v>
      </c>
      <c r="O120">
        <f t="shared" si="102"/>
        <v>62.688490345889321</v>
      </c>
      <c r="P120">
        <f t="shared" si="102"/>
        <v>67.848599515192888</v>
      </c>
      <c r="Q120">
        <f t="shared" si="102"/>
        <v>77.856750209741236</v>
      </c>
      <c r="R120">
        <f t="shared" si="102"/>
        <v>67.460163031968875</v>
      </c>
      <c r="S120">
        <f t="shared" si="102"/>
        <v>58.848707074425718</v>
      </c>
      <c r="T120">
        <f t="shared" si="102"/>
        <v>60.671008</v>
      </c>
      <c r="U120">
        <f t="shared" si="102"/>
        <v>66.741514974897328</v>
      </c>
      <c r="V120">
        <f t="shared" si="102"/>
        <v>60.834662292932563</v>
      </c>
      <c r="W120">
        <f t="shared" si="102"/>
        <v>57.139295822194057</v>
      </c>
      <c r="X120">
        <f t="shared" si="102"/>
        <v>55.569788000000003</v>
      </c>
      <c r="Y120">
        <f t="shared" si="102"/>
        <v>46.141970005738216</v>
      </c>
      <c r="Z120">
        <f t="shared" si="102"/>
        <v>40.590875635963556</v>
      </c>
      <c r="AA120">
        <f t="shared" si="102"/>
        <v>39.675361294282581</v>
      </c>
      <c r="AB120">
        <f t="shared" si="102"/>
        <v>43.097796000000002</v>
      </c>
      <c r="AC120">
        <f t="shared" si="102"/>
        <v>45.825803281131591</v>
      </c>
      <c r="AD120">
        <f t="shared" si="102"/>
        <v>37.150422470058906</v>
      </c>
      <c r="AE120">
        <f t="shared" si="95"/>
        <v>36.104547894183433</v>
      </c>
      <c r="AF120">
        <f t="shared" si="95"/>
        <v>38</v>
      </c>
      <c r="AG120">
        <f t="shared" ref="AG120:AJ120" si="103">AG65</f>
        <v>37.494398211204988</v>
      </c>
      <c r="AH120">
        <f t="shared" si="103"/>
        <v>33.121930438388155</v>
      </c>
      <c r="AI120">
        <f t="shared" si="103"/>
        <v>28.316056303566675</v>
      </c>
      <c r="AJ120">
        <f t="shared" si="103"/>
        <v>31</v>
      </c>
      <c r="AK120">
        <f t="shared" ref="AK120:AM120" si="104">AK65</f>
        <v>36.617221564145147</v>
      </c>
      <c r="AL120">
        <f t="shared" si="104"/>
        <v>40.504609252761661</v>
      </c>
      <c r="AM120">
        <f t="shared" si="104"/>
        <v>37.768124814892275</v>
      </c>
    </row>
    <row r="121" spans="6:39" x14ac:dyDescent="0.2">
      <c r="F121" t="str">
        <f t="shared" si="98"/>
        <v>336</v>
      </c>
      <c r="G121">
        <f t="shared" si="98"/>
        <v>234.98001273849101</v>
      </c>
      <c r="H121">
        <f t="shared" ref="H121:AD121" si="105">H66</f>
        <v>244.14932796917603</v>
      </c>
      <c r="I121">
        <f t="shared" si="105"/>
        <v>242.38099655777575</v>
      </c>
      <c r="J121">
        <f t="shared" si="105"/>
        <v>254.78050349600764</v>
      </c>
      <c r="K121">
        <f t="shared" si="105"/>
        <v>251.14742131079424</v>
      </c>
      <c r="L121">
        <f t="shared" si="105"/>
        <v>237.32816845389928</v>
      </c>
      <c r="M121">
        <f t="shared" si="105"/>
        <v>244.13057132985355</v>
      </c>
      <c r="N121">
        <f t="shared" si="105"/>
        <v>253.07663671240181</v>
      </c>
      <c r="O121">
        <f t="shared" si="105"/>
        <v>281.57130919761488</v>
      </c>
      <c r="P121">
        <f t="shared" si="105"/>
        <v>260.23443301298028</v>
      </c>
      <c r="Q121">
        <f t="shared" si="105"/>
        <v>278.41898668330401</v>
      </c>
      <c r="R121">
        <f t="shared" si="105"/>
        <v>260.19136025138812</v>
      </c>
      <c r="S121">
        <f t="shared" si="105"/>
        <v>258.23641416413506</v>
      </c>
      <c r="T121">
        <f t="shared" si="105"/>
        <v>292.75512400000002</v>
      </c>
      <c r="U121">
        <f t="shared" si="105"/>
        <v>276.64336592279864</v>
      </c>
      <c r="V121">
        <f t="shared" si="105"/>
        <v>246.84021245432757</v>
      </c>
      <c r="W121">
        <f t="shared" si="105"/>
        <v>257.20038854295694</v>
      </c>
      <c r="X121">
        <f t="shared" si="105"/>
        <v>251.66670399999998</v>
      </c>
      <c r="Y121">
        <f t="shared" si="105"/>
        <v>229.98821579246055</v>
      </c>
      <c r="Z121">
        <f t="shared" si="105"/>
        <v>241.72063665115977</v>
      </c>
      <c r="AA121">
        <f t="shared" si="105"/>
        <v>235.38043019571958</v>
      </c>
      <c r="AB121">
        <f t="shared" si="105"/>
        <v>283.93937199999999</v>
      </c>
      <c r="AC121">
        <f t="shared" si="105"/>
        <v>255.92503066606668</v>
      </c>
      <c r="AD121">
        <f t="shared" si="105"/>
        <v>178.02133203826156</v>
      </c>
      <c r="AE121">
        <f t="shared" si="95"/>
        <v>172.38272816028737</v>
      </c>
      <c r="AF121">
        <f t="shared" si="95"/>
        <v>143</v>
      </c>
      <c r="AG121">
        <f t="shared" ref="AG121:AJ121" si="106">AG66</f>
        <v>150.92000632672566</v>
      </c>
      <c r="AH121">
        <f t="shared" si="106"/>
        <v>147.50185586468626</v>
      </c>
      <c r="AI121">
        <f t="shared" si="106"/>
        <v>152.54903819923609</v>
      </c>
      <c r="AJ121">
        <f t="shared" si="106"/>
        <v>164</v>
      </c>
      <c r="AK121">
        <f t="shared" ref="AK121:AM121" si="107">AK66</f>
        <v>195.87148502702223</v>
      </c>
      <c r="AL121">
        <f t="shared" si="107"/>
        <v>208.49515535683466</v>
      </c>
      <c r="AM121">
        <f t="shared" si="107"/>
        <v>179.8142879532501</v>
      </c>
    </row>
    <row r="148" spans="6:39" x14ac:dyDescent="0.2">
      <c r="G148">
        <f>G74</f>
        <v>1985</v>
      </c>
      <c r="H148">
        <f t="shared" ref="H148:AD148" si="108">H74</f>
        <v>1986</v>
      </c>
      <c r="I148">
        <f t="shared" si="108"/>
        <v>1987</v>
      </c>
      <c r="J148">
        <f t="shared" si="108"/>
        <v>1988</v>
      </c>
      <c r="K148">
        <f t="shared" si="108"/>
        <v>1989</v>
      </c>
      <c r="L148">
        <f t="shared" si="108"/>
        <v>1990</v>
      </c>
      <c r="M148">
        <f t="shared" si="108"/>
        <v>1991</v>
      </c>
      <c r="N148">
        <f t="shared" si="108"/>
        <v>1992</v>
      </c>
      <c r="O148">
        <f t="shared" si="108"/>
        <v>1993</v>
      </c>
      <c r="P148">
        <f t="shared" si="108"/>
        <v>1994</v>
      </c>
      <c r="Q148">
        <f t="shared" si="108"/>
        <v>1995</v>
      </c>
      <c r="R148">
        <f t="shared" si="108"/>
        <v>1996</v>
      </c>
      <c r="S148">
        <f t="shared" si="108"/>
        <v>1997</v>
      </c>
      <c r="T148">
        <f t="shared" si="108"/>
        <v>1998</v>
      </c>
      <c r="U148">
        <f t="shared" si="108"/>
        <v>1999</v>
      </c>
      <c r="V148">
        <f t="shared" si="108"/>
        <v>2000</v>
      </c>
      <c r="W148">
        <f t="shared" si="108"/>
        <v>2001</v>
      </c>
      <c r="X148">
        <f t="shared" si="108"/>
        <v>2002</v>
      </c>
      <c r="Y148">
        <f t="shared" si="108"/>
        <v>2003</v>
      </c>
      <c r="Z148">
        <f t="shared" si="108"/>
        <v>2004</v>
      </c>
      <c r="AA148">
        <f t="shared" si="108"/>
        <v>2005</v>
      </c>
      <c r="AB148">
        <f t="shared" si="108"/>
        <v>2006</v>
      </c>
      <c r="AC148">
        <f t="shared" si="108"/>
        <v>2007</v>
      </c>
      <c r="AD148">
        <f t="shared" si="108"/>
        <v>2008</v>
      </c>
      <c r="AE148">
        <f>AE74</f>
        <v>2009</v>
      </c>
      <c r="AF148">
        <f>AF74</f>
        <v>2010</v>
      </c>
      <c r="AG148">
        <f>AG74</f>
        <v>2011</v>
      </c>
      <c r="AH148">
        <f t="shared" ref="AH148:AJ148" si="109">AH74</f>
        <v>2012</v>
      </c>
      <c r="AI148">
        <f t="shared" si="109"/>
        <v>2013</v>
      </c>
      <c r="AJ148">
        <f t="shared" si="109"/>
        <v>2014</v>
      </c>
      <c r="AK148">
        <f t="shared" ref="AK148" si="110">AK74</f>
        <v>2015</v>
      </c>
      <c r="AL148">
        <v>2016</v>
      </c>
      <c r="AM148">
        <v>2017</v>
      </c>
    </row>
    <row r="149" spans="6:39" x14ac:dyDescent="0.2">
      <c r="F149" t="str">
        <f>F67</f>
        <v>337</v>
      </c>
      <c r="G149" s="7">
        <f>G67</f>
        <v>37.383822846973821</v>
      </c>
      <c r="H149" s="7">
        <f t="shared" ref="H149:AD149" si="111">H67</f>
        <v>42.985850897299549</v>
      </c>
      <c r="I149" s="7">
        <f t="shared" si="111"/>
        <v>46.939987356383909</v>
      </c>
      <c r="J149" s="7">
        <f t="shared" si="111"/>
        <v>48.640156995919362</v>
      </c>
      <c r="K149" s="7">
        <f t="shared" si="111"/>
        <v>54.790411286187279</v>
      </c>
      <c r="L149" s="7">
        <f t="shared" si="111"/>
        <v>52.543324444208949</v>
      </c>
      <c r="M149" s="7">
        <f t="shared" si="111"/>
        <v>55.8843501953478</v>
      </c>
      <c r="N149" s="7">
        <f t="shared" si="111"/>
        <v>52.652898635297085</v>
      </c>
      <c r="O149" s="7">
        <f t="shared" si="111"/>
        <v>50.694628080839159</v>
      </c>
      <c r="P149" s="7">
        <f t="shared" si="111"/>
        <v>47.300771088826892</v>
      </c>
      <c r="Q149" s="7">
        <f t="shared" si="111"/>
        <v>55.003014814745541</v>
      </c>
      <c r="R149" s="7">
        <f t="shared" si="111"/>
        <v>51.030768858049989</v>
      </c>
      <c r="S149" s="7">
        <f t="shared" si="111"/>
        <v>51.656782449462625</v>
      </c>
      <c r="T149" s="7">
        <f t="shared" si="111"/>
        <v>58.499848</v>
      </c>
      <c r="U149" s="7">
        <f t="shared" si="111"/>
        <v>60.507721609016151</v>
      </c>
      <c r="V149" s="7">
        <f t="shared" si="111"/>
        <v>50.020066867969469</v>
      </c>
      <c r="W149" s="7">
        <f t="shared" si="111"/>
        <v>42.856703444423736</v>
      </c>
      <c r="X149" s="7">
        <f t="shared" si="111"/>
        <v>38.904455999999996</v>
      </c>
      <c r="Y149" s="7">
        <f t="shared" si="111"/>
        <v>29.433026608129488</v>
      </c>
      <c r="Z149" s="7">
        <f t="shared" si="111"/>
        <v>28.467484332631365</v>
      </c>
      <c r="AA149" s="7">
        <f t="shared" si="111"/>
        <v>26.177017904743494</v>
      </c>
      <c r="AB149" s="7">
        <f t="shared" si="111"/>
        <v>28.391231999999999</v>
      </c>
      <c r="AC149" s="7">
        <f t="shared" si="111"/>
        <v>27.714561877145339</v>
      </c>
      <c r="AD149" s="7">
        <f t="shared" si="111"/>
        <v>21.906717243100903</v>
      </c>
      <c r="AE149" s="7">
        <f t="shared" ref="AE149:AG150" si="112">AE67</f>
        <v>22.324842479284005</v>
      </c>
      <c r="AF149" s="7">
        <f t="shared" si="112"/>
        <v>19</v>
      </c>
      <c r="AG149" s="7">
        <f t="shared" si="112"/>
        <v>19.114039343101386</v>
      </c>
      <c r="AH149" s="7">
        <f t="shared" ref="AH149:AJ149" si="113">AH67</f>
        <v>20.810421304257442</v>
      </c>
      <c r="AI149" s="7">
        <f t="shared" si="113"/>
        <v>19.613149087444253</v>
      </c>
      <c r="AJ149" s="7">
        <f t="shared" si="113"/>
        <v>20</v>
      </c>
      <c r="AK149" s="7">
        <f t="shared" ref="AK149:AM149" si="114">AK67</f>
        <v>30.305461091321359</v>
      </c>
      <c r="AL149" s="7">
        <f t="shared" si="114"/>
        <v>33.128867471795822</v>
      </c>
      <c r="AM149" s="7">
        <f t="shared" si="114"/>
        <v>28.943222007530053</v>
      </c>
    </row>
    <row r="150" spans="6:39" x14ac:dyDescent="0.2">
      <c r="F150" t="str">
        <f>F68</f>
        <v>339</v>
      </c>
      <c r="G150" s="7">
        <f>G68</f>
        <v>33.863505680901589</v>
      </c>
      <c r="H150" s="7">
        <f t="shared" ref="H150:AD150" si="115">H68</f>
        <v>39.628355216449528</v>
      </c>
      <c r="I150" s="7">
        <f t="shared" si="115"/>
        <v>43.311356676392833</v>
      </c>
      <c r="J150" s="7">
        <f t="shared" si="115"/>
        <v>45.434393503358493</v>
      </c>
      <c r="K150" s="7">
        <f t="shared" si="115"/>
        <v>41.18066817037402</v>
      </c>
      <c r="L150" s="7">
        <f t="shared" si="115"/>
        <v>38.691516089207084</v>
      </c>
      <c r="M150" s="7">
        <f t="shared" si="115"/>
        <v>34.793804965135031</v>
      </c>
      <c r="N150" s="7">
        <f t="shared" si="115"/>
        <v>38.845725201786685</v>
      </c>
      <c r="O150" s="7">
        <f t="shared" si="115"/>
        <v>43.649220105879621</v>
      </c>
      <c r="P150" s="7">
        <f t="shared" si="115"/>
        <v>48.376910834473634</v>
      </c>
      <c r="Q150" s="7">
        <f t="shared" si="115"/>
        <v>54.003433472495793</v>
      </c>
      <c r="R150" s="7">
        <f t="shared" si="115"/>
        <v>44.191956365805062</v>
      </c>
      <c r="S150" s="7">
        <f t="shared" si="115"/>
        <v>42.319065802984603</v>
      </c>
      <c r="T150" s="7">
        <f t="shared" si="115"/>
        <v>47.700868</v>
      </c>
      <c r="U150" s="7">
        <f t="shared" si="115"/>
        <v>46.745155175063296</v>
      </c>
      <c r="V150" s="7">
        <f t="shared" si="115"/>
        <v>38.101014045070116</v>
      </c>
      <c r="W150" s="7">
        <f t="shared" si="115"/>
        <v>33.200659911387405</v>
      </c>
      <c r="X150" s="7">
        <f t="shared" si="115"/>
        <v>35.603912000000001</v>
      </c>
      <c r="Y150" s="7">
        <f t="shared" si="115"/>
        <v>30.337702942254708</v>
      </c>
      <c r="Z150" s="7">
        <f t="shared" si="115"/>
        <v>28.689353232890731</v>
      </c>
      <c r="AA150" s="7">
        <f t="shared" si="115"/>
        <v>27.696006039892389</v>
      </c>
      <c r="AB150" s="7">
        <f t="shared" si="115"/>
        <v>32.982075999999999</v>
      </c>
      <c r="AC150" s="7">
        <f t="shared" si="115"/>
        <v>31.838460359608138</v>
      </c>
      <c r="AD150" s="7">
        <f t="shared" si="115"/>
        <v>20.608192835341118</v>
      </c>
      <c r="AE150" s="7">
        <f t="shared" si="112"/>
        <v>22.524890856185063</v>
      </c>
      <c r="AF150" s="7">
        <f t="shared" si="112"/>
        <v>17</v>
      </c>
      <c r="AG150" s="7">
        <f t="shared" si="112"/>
        <v>20.193387797529102</v>
      </c>
      <c r="AH150" s="7">
        <f t="shared" ref="AH150:AJ150" si="116">AH68</f>
        <v>22.881220733375581</v>
      </c>
      <c r="AI150" s="7">
        <f t="shared" si="116"/>
        <v>27.617340891758243</v>
      </c>
      <c r="AJ150" s="7">
        <f t="shared" si="116"/>
        <v>28</v>
      </c>
      <c r="AK150" s="7">
        <f t="shared" ref="AK150:AM150" si="117">AK68</f>
        <v>34.370638862344556</v>
      </c>
      <c r="AL150" s="7">
        <f t="shared" si="117"/>
        <v>39.212485077900489</v>
      </c>
      <c r="AM150" s="7">
        <f t="shared" si="117"/>
        <v>38.943663904859179</v>
      </c>
    </row>
  </sheetData>
  <phoneticPr fontId="9"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Q150"/>
  <sheetViews>
    <sheetView topLeftCell="BS58" workbookViewId="0">
      <selection activeCell="CB80" sqref="CB80"/>
    </sheetView>
  </sheetViews>
  <sheetFormatPr defaultRowHeight="12.75" x14ac:dyDescent="0.2"/>
  <cols>
    <col min="64" max="64" width="10.140625" customWidth="1"/>
    <col min="65" max="65" width="10.140625" bestFit="1" customWidth="1"/>
    <col min="66" max="66" width="14" customWidth="1"/>
    <col min="80" max="105" width="9.5703125" bestFit="1" customWidth="1"/>
    <col min="106" max="113" width="9.5703125" customWidth="1"/>
  </cols>
  <sheetData>
    <row r="1" spans="1:42" x14ac:dyDescent="0.2">
      <c r="B1" s="52" t="s">
        <v>426</v>
      </c>
      <c r="M1" s="52" t="s">
        <v>343</v>
      </c>
    </row>
    <row r="2" spans="1:42" x14ac:dyDescent="0.2">
      <c r="L2" t="s">
        <v>137</v>
      </c>
    </row>
    <row r="4" spans="1:42" x14ac:dyDescent="0.2">
      <c r="D4" t="s">
        <v>99</v>
      </c>
      <c r="G4" t="s">
        <v>101</v>
      </c>
      <c r="J4" s="52" t="s">
        <v>23</v>
      </c>
      <c r="L4" t="s">
        <v>153</v>
      </c>
    </row>
    <row r="5" spans="1:42" x14ac:dyDescent="0.2">
      <c r="A5">
        <v>1985</v>
      </c>
      <c r="B5">
        <v>1986</v>
      </c>
      <c r="C5">
        <v>1987</v>
      </c>
      <c r="D5">
        <v>1988</v>
      </c>
      <c r="G5">
        <v>1985</v>
      </c>
      <c r="H5">
        <v>1986</v>
      </c>
      <c r="I5">
        <v>1987</v>
      </c>
      <c r="J5">
        <v>1988</v>
      </c>
      <c r="L5">
        <v>1988</v>
      </c>
      <c r="M5">
        <f t="shared" ref="M5:AF5" si="0">L5+1</f>
        <v>1989</v>
      </c>
      <c r="N5">
        <f t="shared" si="0"/>
        <v>1990</v>
      </c>
      <c r="O5">
        <f t="shared" si="0"/>
        <v>1991</v>
      </c>
      <c r="P5">
        <f t="shared" si="0"/>
        <v>1992</v>
      </c>
      <c r="Q5">
        <f t="shared" si="0"/>
        <v>1993</v>
      </c>
      <c r="R5" s="3">
        <f t="shared" si="0"/>
        <v>1994</v>
      </c>
      <c r="S5">
        <f t="shared" si="0"/>
        <v>1995</v>
      </c>
      <c r="T5">
        <f t="shared" si="0"/>
        <v>1996</v>
      </c>
      <c r="U5">
        <f t="shared" si="0"/>
        <v>1997</v>
      </c>
      <c r="V5" s="3">
        <f t="shared" si="0"/>
        <v>1998</v>
      </c>
      <c r="W5">
        <f t="shared" si="0"/>
        <v>1999</v>
      </c>
      <c r="X5">
        <f t="shared" si="0"/>
        <v>2000</v>
      </c>
      <c r="Y5">
        <f t="shared" si="0"/>
        <v>2001</v>
      </c>
      <c r="Z5">
        <f t="shared" si="0"/>
        <v>2002</v>
      </c>
      <c r="AA5">
        <f t="shared" si="0"/>
        <v>2003</v>
      </c>
      <c r="AB5">
        <f t="shared" si="0"/>
        <v>2004</v>
      </c>
      <c r="AC5">
        <f t="shared" si="0"/>
        <v>2005</v>
      </c>
      <c r="AD5">
        <f t="shared" si="0"/>
        <v>2006</v>
      </c>
      <c r="AE5">
        <f t="shared" si="0"/>
        <v>2007</v>
      </c>
      <c r="AF5">
        <f t="shared" si="0"/>
        <v>2008</v>
      </c>
      <c r="AG5">
        <f>AF5+1</f>
        <v>2009</v>
      </c>
      <c r="AH5">
        <f>AG5+1</f>
        <v>2010</v>
      </c>
      <c r="AI5">
        <v>2011</v>
      </c>
      <c r="AJ5">
        <v>2012</v>
      </c>
      <c r="AK5">
        <v>2013</v>
      </c>
      <c r="AL5">
        <v>2014</v>
      </c>
      <c r="AM5">
        <v>2015</v>
      </c>
      <c r="AN5">
        <v>2016</v>
      </c>
      <c r="AO5">
        <v>2017</v>
      </c>
    </row>
    <row r="6" spans="1:42" x14ac:dyDescent="0.2">
      <c r="F6" t="s">
        <v>12</v>
      </c>
      <c r="G6" s="7">
        <f>'ASM2'!AG23</f>
        <v>159.61404240000002</v>
      </c>
      <c r="H6" s="7">
        <f>'ASM2'!AH23</f>
        <v>162.34671320000001</v>
      </c>
      <c r="I6" s="7">
        <f>'ASM2'!AI23</f>
        <v>175.813536</v>
      </c>
      <c r="J6" s="7">
        <f>'ASM2'!AJ23</f>
        <v>180.4985532</v>
      </c>
      <c r="L6" s="5">
        <f>ASM_Annual_Elec_1970on!AC8</f>
        <v>180.49855319999998</v>
      </c>
      <c r="M6" s="5">
        <f>ASM_Annual_Elec_1970on!AD8</f>
        <v>181.92203960000001</v>
      </c>
      <c r="N6" s="5">
        <f>ASM_Annual_Elec_1970on!AE8</f>
        <v>183.31550040000002</v>
      </c>
      <c r="O6" s="5">
        <f>ASM_Annual_Elec_1970on!AF8</f>
        <v>188.50788200000002</v>
      </c>
      <c r="P6" s="5">
        <f>ASM_Annual_Elec_1970on!AG8</f>
        <v>195.81126800000001</v>
      </c>
      <c r="Q6" s="5">
        <f>ASM_Annual_Elec_1970on!AH8</f>
        <v>202.10436079999999</v>
      </c>
      <c r="R6" s="5">
        <f>ASM_Annual_Elec_1970on!AI8</f>
        <v>206.38096160000001</v>
      </c>
      <c r="S6" s="5">
        <f>ASM_Annual_Elec_1970on!AJ8</f>
        <v>215.29992960000001</v>
      </c>
      <c r="T6" s="5">
        <f>ASM_Annual_Elec_1970on!AK8</f>
        <v>223.774314</v>
      </c>
      <c r="U6" s="5">
        <f>ASM_Annual_Elec_1970on!AL8</f>
        <v>232.942692376</v>
      </c>
      <c r="V6" s="5">
        <f>ASM_Annual_Elec_1970on!AM8</f>
        <v>237.41109875599997</v>
      </c>
      <c r="W6" s="5">
        <f>ASM_Annual_Elec_1970on!AN8</f>
        <v>233.76357863199999</v>
      </c>
      <c r="X6" s="5">
        <f>ASM_Annual_Elec_1970on!AO8</f>
        <v>248.33018456799999</v>
      </c>
      <c r="Y6" s="5">
        <f>ASM_Annual_Elec_1970on!AP8</f>
        <v>266.44860061600002</v>
      </c>
      <c r="Z6" s="5">
        <f>ASM_Annual_Elec_1970on!AQ8</f>
        <v>257.77662047199999</v>
      </c>
      <c r="AA6" s="5">
        <f>ASM_Annual_Elec_1970on!AR8</f>
        <v>255.32842858399999</v>
      </c>
      <c r="AB6" s="5">
        <f>ASM_Annual_Elec_1970on!AS8</f>
        <v>287.10198594799999</v>
      </c>
      <c r="AC6" s="5">
        <f>ASM_Annual_Elec_1970on!AT8</f>
        <v>300.75193419999994</v>
      </c>
      <c r="AD6" s="5">
        <f>ASM_Annual_Elec_1970on!AU8</f>
        <v>301.63248268799998</v>
      </c>
      <c r="AE6" s="5">
        <f>ASM_Annual_Elec_1970on!AV8</f>
        <v>307.48225773999997</v>
      </c>
      <c r="AF6" s="5">
        <f>ASM_Annual_Elec_1970on!AW8</f>
        <v>334.69119032399999</v>
      </c>
      <c r="AG6" s="5">
        <f>ASM_Annual_Elec_1970on!AX8</f>
        <v>313.91500369999994</v>
      </c>
      <c r="AH6" s="5">
        <f>ASM_Annual_Elec_1970on!AY8</f>
        <v>321.26902378</v>
      </c>
      <c r="AI6" s="5">
        <f>ASM_Annual_Elec_1970on!AZ8</f>
        <v>340.83685742799997</v>
      </c>
      <c r="AJ6" s="5">
        <f>ASM_Annual_Elec_1970on!BA8</f>
        <v>299.93102747199998</v>
      </c>
      <c r="AK6" s="5">
        <f>ASM_Annual_Elec_1970on!BB8</f>
        <v>290.75231755999999</v>
      </c>
      <c r="AL6" s="5">
        <f>ASM_Annual_Elec_1970on!BC8</f>
        <v>293.20092571200001</v>
      </c>
      <c r="AM6" s="5">
        <f>ASM_Annual_Elec_1970on!BD8</f>
        <v>280.58946742799998</v>
      </c>
      <c r="AN6" s="5">
        <f>ASM_Annual_Elec_1970on!BE8</f>
        <v>285.16332166799998</v>
      </c>
      <c r="AO6" s="5">
        <f>ASM_Annual_Elec_1970on!BF8</f>
        <v>281.55283880399998</v>
      </c>
      <c r="AP6" s="5"/>
    </row>
    <row r="7" spans="1:42" x14ac:dyDescent="0.2">
      <c r="F7" t="s">
        <v>13</v>
      </c>
      <c r="G7" s="7">
        <f>'ASM2'!AG24</f>
        <v>91.731961199999986</v>
      </c>
      <c r="H7" s="7">
        <f>'ASM2'!AH24</f>
        <v>94.829033600000017</v>
      </c>
      <c r="I7" s="7">
        <f>'ASM2'!AI24</f>
        <v>106.82596680000002</v>
      </c>
      <c r="J7" s="7">
        <f>'ASM2'!AJ24</f>
        <v>107.34117880000001</v>
      </c>
      <c r="L7" s="5">
        <f>ASM_Annual_Elec_1970on!AC9</f>
        <v>101.7052372</v>
      </c>
      <c r="M7" s="5">
        <f>ASM_Annual_Elec_1970on!AD9</f>
        <v>103.4306856</v>
      </c>
      <c r="N7" s="5">
        <f>ASM_Annual_Elec_1970on!AE9</f>
        <v>99.811577199999988</v>
      </c>
      <c r="O7" s="5">
        <f>ASM_Annual_Elec_1970on!AF9</f>
        <v>101.02556680000001</v>
      </c>
      <c r="P7" s="5">
        <f>ASM_Annual_Elec_1970on!AG9</f>
        <v>106.6154464</v>
      </c>
      <c r="Q7" s="5">
        <f>ASM_Annual_Elec_1970on!AH9</f>
        <v>111.71092719999999</v>
      </c>
      <c r="R7" s="5">
        <f>ASM_Annual_Elec_1970on!AI9</f>
        <v>117.0374004</v>
      </c>
      <c r="S7" s="5">
        <f>ASM_Annual_Elec_1970on!AJ9</f>
        <v>118.22307040000001</v>
      </c>
      <c r="T7" s="5">
        <f>ASM_Annual_Elec_1970on!AK9</f>
        <v>115.34846039999999</v>
      </c>
      <c r="U7" s="5">
        <f>ASM_Annual_Elec_1970on!AL9</f>
        <v>113.555870664</v>
      </c>
      <c r="V7" s="5">
        <f>ASM_Annual_Elec_1970on!AM9</f>
        <v>115.50939079199999</v>
      </c>
      <c r="W7" s="5">
        <f>ASM_Annual_Elec_1970on!AN9</f>
        <v>114.812943588</v>
      </c>
      <c r="X7" s="5">
        <f>ASM_Annual_Elec_1970on!AO9</f>
        <v>107.995607224</v>
      </c>
      <c r="Y7" s="5">
        <f>ASM_Annual_Elec_1970on!AP9</f>
        <v>102.389694636</v>
      </c>
      <c r="Z7" s="5">
        <f>ASM_Annual_Elec_1970on!AQ9</f>
        <v>97.014695971999998</v>
      </c>
      <c r="AA7" s="5">
        <f>ASM_Annual_Elec_1970on!AR9</f>
        <v>95.164583328000006</v>
      </c>
      <c r="AB7" s="5">
        <f>ASM_Annual_Elec_1970on!AS9</f>
        <v>94.700360255999996</v>
      </c>
      <c r="AC7" s="5">
        <f>ASM_Annual_Elec_1970on!AT9</f>
        <v>92.424099048000002</v>
      </c>
      <c r="AD7" s="5">
        <f>ASM_Annual_Elec_1970on!AU9</f>
        <v>79.236968124000001</v>
      </c>
      <c r="AE7" s="5">
        <f>ASM_Annual_Elec_1970on!AV9</f>
        <v>68.415711176000002</v>
      </c>
      <c r="AF7" s="5">
        <f>ASM_Annual_Elec_1970on!AW9</f>
        <v>63.298574411999994</v>
      </c>
      <c r="AG7" s="5">
        <f>ASM_Annual_Elec_1970on!AX9</f>
        <v>50.465271299999998</v>
      </c>
      <c r="AH7" s="5">
        <f>ASM_Annual_Elec_1970on!AY9</f>
        <v>52.214992668000008</v>
      </c>
      <c r="AI7" s="5">
        <f>ASM_Annual_Elec_1970on!AZ9</f>
        <v>54.125074623999993</v>
      </c>
      <c r="AJ7" s="5">
        <f>ASM_Annual_Elec_1970on!BA9</f>
        <v>49.364757995999994</v>
      </c>
      <c r="AK7" s="5">
        <f>ASM_Annual_Elec_1970on!BB9</f>
        <v>50.116087219999997</v>
      </c>
      <c r="AL7" s="5">
        <f>ASM_Annual_Elec_1970on!BC9</f>
        <v>50.308401187999998</v>
      </c>
      <c r="AM7" s="5">
        <f>ASM_Annual_Elec_1970on!BD9</f>
        <v>47.022597420000004</v>
      </c>
      <c r="AN7" s="5">
        <f>ASM_Annual_Elec_1970on!BE9</f>
        <v>44.523338128000006</v>
      </c>
      <c r="AO7" s="5">
        <f>ASM_Annual_Elec_1970on!BF9</f>
        <v>41.625352516</v>
      </c>
      <c r="AP7" s="5"/>
    </row>
    <row r="8" spans="1:42" x14ac:dyDescent="0.2">
      <c r="F8" t="s">
        <v>14</v>
      </c>
      <c r="G8" s="7">
        <f>'ASM2'!AG25</f>
        <v>19.829520399999996</v>
      </c>
      <c r="H8" s="7">
        <f>'ASM2'!AH25</f>
        <v>20.001826399999999</v>
      </c>
      <c r="I8" s="7">
        <f>'ASM2'!AI25</f>
        <v>20.253290799999998</v>
      </c>
      <c r="J8" s="7">
        <f>'ASM2'!AJ25</f>
        <v>20.872910000000001</v>
      </c>
      <c r="L8" s="5">
        <f>ASM_Annual_Elec_1970on!AC10</f>
        <v>26.5088516</v>
      </c>
      <c r="M8" s="5">
        <f>ASM_Annual_Elec_1970on!AD10</f>
        <v>23.390624799999998</v>
      </c>
      <c r="N8" s="5">
        <f>ASM_Annual_Elec_1970on!AE10</f>
        <v>23.108793599999998</v>
      </c>
      <c r="O8" s="5">
        <f>ASM_Annual_Elec_1970on!AF10</f>
        <v>22.4250288</v>
      </c>
      <c r="P8" s="5">
        <f>ASM_Annual_Elec_1970on!AG10</f>
        <v>31.5483756</v>
      </c>
      <c r="Q8" s="5">
        <f>ASM_Annual_Elec_1970on!AH10</f>
        <v>35.309764399999999</v>
      </c>
      <c r="R8" s="5">
        <f>ASM_Annual_Elec_1970on!AI10</f>
        <v>33.010758799999998</v>
      </c>
      <c r="S8" s="5">
        <f>ASM_Annual_Elec_1970on!AJ10</f>
        <v>34.404902</v>
      </c>
      <c r="T8" s="5">
        <f>ASM_Annual_Elec_1970on!AK10</f>
        <v>32.783178399999997</v>
      </c>
      <c r="U8" s="5">
        <f>ASM_Annual_Elec_1970on!AL10</f>
        <v>27.277875456</v>
      </c>
      <c r="V8" s="5">
        <f>ASM_Annual_Elec_1970on!AM10</f>
        <v>25.900034791999996</v>
      </c>
      <c r="W8" s="5">
        <f>ASM_Annual_Elec_1970on!AN10</f>
        <v>24.839243991999997</v>
      </c>
      <c r="X8" s="5">
        <f>ASM_Annual_Elec_1970on!AO10</f>
        <v>26.023051040000002</v>
      </c>
      <c r="Y8" s="5">
        <f>ASM_Annual_Elec_1970on!AP10</f>
        <v>24.252731428000001</v>
      </c>
      <c r="Z8" s="5">
        <f>ASM_Annual_Elec_1970on!AQ10</f>
        <v>13.151792839999999</v>
      </c>
      <c r="AA8" s="5">
        <f>ASM_Annual_Elec_1970on!AR10</f>
        <v>12.522558623999998</v>
      </c>
      <c r="AB8" s="5">
        <f>ASM_Annual_Elec_1970on!AS10</f>
        <v>15.189756556000001</v>
      </c>
      <c r="AC8" s="5">
        <f>ASM_Annual_Elec_1970on!AT10</f>
        <v>14.870621959999999</v>
      </c>
      <c r="AD8" s="5">
        <f>ASM_Annual_Elec_1970on!AU10</f>
        <v>13.064957439999999</v>
      </c>
      <c r="AE8" s="5">
        <f>ASM_Annual_Elec_1970on!AV10</f>
        <v>8.8014314240000004</v>
      </c>
      <c r="AF8" s="5">
        <f>ASM_Annual_Elec_1970on!AW10</f>
        <v>6.6801330200000004</v>
      </c>
      <c r="AG8" s="5">
        <f>ASM_Annual_Elec_1970on!AX10</f>
        <v>4.7902023360000001</v>
      </c>
      <c r="AH8" s="5">
        <f>ASM_Annual_Elec_1970on!AY10</f>
        <v>4.7583308439999996</v>
      </c>
      <c r="AI8" s="5">
        <f>ASM_Annual_Elec_1970on!AZ10</f>
        <v>4.6839253599999999</v>
      </c>
      <c r="AJ8" s="5">
        <f>ASM_Annual_Elec_1970on!BA10</f>
        <v>3.672690448</v>
      </c>
      <c r="AK8" s="5">
        <f>ASM_Annual_Elec_1970on!BB10</f>
        <v>3.8386603639999999</v>
      </c>
      <c r="AL8" s="5">
        <f>ASM_Annual_Elec_1970on!BC10</f>
        <v>3.9326268440000001</v>
      </c>
      <c r="AM8" s="5">
        <f>ASM_Annual_Elec_1970on!BD10</f>
        <v>3.7451988599999999</v>
      </c>
      <c r="AN8" s="5">
        <f>ASM_Annual_Elec_1970on!BE10</f>
        <v>3.5861518919999993</v>
      </c>
      <c r="AO8" s="5">
        <f>ASM_Annual_Elec_1970on!BF10</f>
        <v>3.2827670879999999</v>
      </c>
      <c r="AP8" s="5"/>
    </row>
    <row r="9" spans="1:42" x14ac:dyDescent="0.2">
      <c r="F9" t="s">
        <v>105</v>
      </c>
      <c r="G9" s="7">
        <f>'ASM2'!AG26</f>
        <v>57.203885999999997</v>
      </c>
      <c r="H9" s="7">
        <f>'ASM2'!AH26</f>
        <v>60.595755200000006</v>
      </c>
      <c r="I9" s="7">
        <f>'ASM2'!AI26</f>
        <v>70.843356</v>
      </c>
      <c r="J9" s="7">
        <f>'ASM2'!AJ26</f>
        <v>73.596157599999998</v>
      </c>
      <c r="L9" s="5">
        <f>ASM_Annual_Elec_1970on!AC11</f>
        <v>66.472722126573842</v>
      </c>
      <c r="M9" s="5">
        <f>ASM_Annual_Elec_1970on!AD11</f>
        <v>65.138042120981652</v>
      </c>
      <c r="N9" s="5">
        <f>ASM_Annual_Elec_1970on!AE11</f>
        <v>65.158067088915033</v>
      </c>
      <c r="O9" s="5">
        <f>ASM_Annual_Elec_1970on!AF11</f>
        <v>63.49885546014837</v>
      </c>
      <c r="P9" s="5">
        <f>ASM_Annual_Elec_1970on!AG11</f>
        <v>60.602545812385564</v>
      </c>
      <c r="Q9" s="5">
        <f>ASM_Annual_Elec_1970on!AH11</f>
        <v>66.275015300310841</v>
      </c>
      <c r="R9" s="5">
        <f>ASM_Annual_Elec_1970on!AI11</f>
        <v>68.881439697990274</v>
      </c>
      <c r="S9" s="5">
        <f>ASM_Annual_Elec_1970on!AJ11</f>
        <v>70.680508245656824</v>
      </c>
      <c r="T9" s="5">
        <f>ASM_Annual_Elec_1970on!AK11</f>
        <v>71.392824962144573</v>
      </c>
      <c r="U9" s="5">
        <f>ASM_Annual_Elec_1970on!AL11</f>
        <v>74.590970555999988</v>
      </c>
      <c r="V9" s="5">
        <f>ASM_Annual_Elec_1970on!AM11</f>
        <v>76.021762047999999</v>
      </c>
      <c r="W9" s="5">
        <f>ASM_Annual_Elec_1970on!AN11</f>
        <v>79.383206443999995</v>
      </c>
      <c r="X9" s="5">
        <f>ASM_Annual_Elec_1970on!AO11</f>
        <v>79.318323851999992</v>
      </c>
      <c r="Y9" s="5">
        <f>ASM_Annual_Elec_1970on!AP11</f>
        <v>74.650090280000001</v>
      </c>
      <c r="Z9" s="5">
        <f>ASM_Annual_Elec_1970on!AQ11</f>
        <v>74.759141212000003</v>
      </c>
      <c r="AA9" s="5">
        <f>ASM_Annual_Elec_1970on!AR11</f>
        <v>78.270293932000001</v>
      </c>
      <c r="AB9" s="5">
        <f>ASM_Annual_Elec_1970on!AS11</f>
        <v>90.253432415999995</v>
      </c>
      <c r="AC9" s="5">
        <f>ASM_Annual_Elec_1970on!AT11</f>
        <v>95.464392355999991</v>
      </c>
      <c r="AD9" s="5">
        <f>ASM_Annual_Elec_1970on!AU11</f>
        <v>96.462862975999997</v>
      </c>
      <c r="AE9" s="5">
        <f>ASM_Annual_Elec_1970on!AV11</f>
        <v>85.215181091999995</v>
      </c>
      <c r="AF9" s="5">
        <f>ASM_Annual_Elec_1970on!AW11</f>
        <v>78.449870903999994</v>
      </c>
      <c r="AG9" s="5">
        <f>ASM_Annual_Elec_1970on!AX11</f>
        <v>63.432399876000005</v>
      </c>
      <c r="AH9" s="5">
        <f>ASM_Annual_Elec_1970on!AY11</f>
        <v>67.583578967999998</v>
      </c>
      <c r="AI9" s="5">
        <f>ASM_Annual_Elec_1970on!AZ11</f>
        <v>68.977261547999987</v>
      </c>
      <c r="AJ9" s="5">
        <f>ASM_Annual_Elec_1970on!BA11</f>
        <v>66.419227144000004</v>
      </c>
      <c r="AK9" s="5">
        <f>ASM_Annual_Elec_1970on!BB11</f>
        <v>71.100699275999986</v>
      </c>
      <c r="AL9" s="5">
        <f>ASM_Annual_Elec_1970on!BC11</f>
        <v>72.53285898</v>
      </c>
      <c r="AM9" s="5">
        <f>ASM_Annual_Elec_1970on!BD11</f>
        <v>75.369298936000007</v>
      </c>
      <c r="AN9" s="5">
        <f>ASM_Annual_Elec_1970on!BE11</f>
        <v>74.28565797200001</v>
      </c>
      <c r="AO9" s="5">
        <f>ASM_Annual_Elec_1970on!BF11</f>
        <v>69.652974028000003</v>
      </c>
      <c r="AP9" s="5"/>
    </row>
    <row r="10" spans="1:42" x14ac:dyDescent="0.2">
      <c r="F10" t="s">
        <v>106</v>
      </c>
      <c r="G10" s="7">
        <f>'ASM2'!AG27</f>
        <v>178.95667040000001</v>
      </c>
      <c r="H10" s="7">
        <f>'ASM2'!AH27</f>
        <v>198.8902568</v>
      </c>
      <c r="I10" s="7">
        <f>'ASM2'!AI27</f>
        <v>202.15315239999998</v>
      </c>
      <c r="J10" s="7">
        <f>'ASM2'!AJ27</f>
        <v>205.36179720000001</v>
      </c>
      <c r="L10" s="5">
        <f>ASM_Annual_Elec_1970on!AC12</f>
        <v>197.55336384638781</v>
      </c>
      <c r="M10" s="5">
        <f>ASM_Annual_Elec_1970on!AD12</f>
        <v>203.60553441825095</v>
      </c>
      <c r="N10" s="5">
        <f>ASM_Annual_Elec_1970on!AE12</f>
        <v>215.91304783726235</v>
      </c>
      <c r="O10" s="5">
        <f>ASM_Annual_Elec_1970on!AF12</f>
        <v>219.58196495057035</v>
      </c>
      <c r="P10" s="5">
        <f>ASM_Annual_Elec_1970on!AG12</f>
        <v>222.69125568365018</v>
      </c>
      <c r="Q10" s="5">
        <f>ASM_Annual_Elec_1970on!AH12</f>
        <v>231.05282872547528</v>
      </c>
      <c r="R10" s="5">
        <f>ASM_Annual_Elec_1970on!AI12</f>
        <v>236.49778005779467</v>
      </c>
      <c r="S10" s="5">
        <f>ASM_Annual_Elec_1970on!AJ12</f>
        <v>243.108920556654</v>
      </c>
      <c r="T10" s="5">
        <f>ASM_Annual_Elec_1970on!AK12</f>
        <v>239.95958617642583</v>
      </c>
      <c r="U10" s="5">
        <f>ASM_Annual_Elec_1970on!AL12</f>
        <v>239.01765260400001</v>
      </c>
      <c r="V10" s="5">
        <f>ASM_Annual_Elec_1970on!AM12</f>
        <v>247.72932454400001</v>
      </c>
      <c r="W10" s="5">
        <f>ASM_Annual_Elec_1970on!AN12</f>
        <v>241.930821616</v>
      </c>
      <c r="X10" s="5">
        <f>ASM_Annual_Elec_1970on!AO12</f>
        <v>251.9243376</v>
      </c>
      <c r="Y10" s="5">
        <f>ASM_Annual_Elec_1970on!AP12</f>
        <v>247.14786856399999</v>
      </c>
      <c r="Z10" s="5">
        <f>ASM_Annual_Elec_1970on!AQ12</f>
        <v>243.73968318000001</v>
      </c>
      <c r="AA10" s="5">
        <f>ASM_Annual_Elec_1970on!AR12</f>
        <v>244.92814419599998</v>
      </c>
      <c r="AB10" s="5">
        <f>ASM_Annual_Elec_1970on!AS12</f>
        <v>252.8525722</v>
      </c>
      <c r="AC10" s="5">
        <f>ASM_Annual_Elec_1970on!AT12</f>
        <v>256.52020947599999</v>
      </c>
      <c r="AD10" s="5">
        <f>ASM_Annual_Elec_1970on!AU12</f>
        <v>245.509183912</v>
      </c>
      <c r="AE10" s="5">
        <f>ASM_Annual_Elec_1970on!AV12</f>
        <v>252.53347172400001</v>
      </c>
      <c r="AF10" s="5">
        <f>ASM_Annual_Elec_1970on!AW12</f>
        <v>231.50060375200002</v>
      </c>
      <c r="AG10" s="5">
        <f>ASM_Annual_Elec_1970on!AX12</f>
        <v>221.86882800799998</v>
      </c>
      <c r="AH10" s="5">
        <f>ASM_Annual_Elec_1970on!AY12</f>
        <v>229.32690385199999</v>
      </c>
      <c r="AI10" s="5">
        <f>ASM_Annual_Elec_1970on!AZ12</f>
        <v>228.31483299999999</v>
      </c>
      <c r="AJ10" s="5">
        <f>ASM_Annual_Elec_1970on!BA12</f>
        <v>220.31695828400001</v>
      </c>
      <c r="AK10" s="5">
        <f>ASM_Annual_Elec_1970on!BB12</f>
        <v>206.06780824000001</v>
      </c>
      <c r="AL10" s="5">
        <f>ASM_Annual_Elec_1970on!BC12</f>
        <v>204.47927316400001</v>
      </c>
      <c r="AM10" s="5">
        <f>ASM_Annual_Elec_1970on!BD12</f>
        <v>209.27767453599998</v>
      </c>
      <c r="AN10" s="5">
        <f>ASM_Annual_Elec_1970on!BE12</f>
        <v>207.62067768</v>
      </c>
      <c r="AO10" s="5">
        <f>ASM_Annual_Elec_1970on!BF12</f>
        <v>193.77859288400001</v>
      </c>
      <c r="AP10" s="5"/>
    </row>
    <row r="11" spans="1:42" x14ac:dyDescent="0.2">
      <c r="F11" t="s">
        <v>107</v>
      </c>
      <c r="G11" s="7">
        <f>'ASM2'!AG28</f>
        <v>42.249089999999995</v>
      </c>
      <c r="H11" s="7">
        <f>'ASM2'!AH28</f>
        <v>45.046247599999994</v>
      </c>
      <c r="I11" s="7">
        <f>'ASM2'!AI28</f>
        <v>51.207466600000004</v>
      </c>
      <c r="J11" s="7">
        <f>'ASM2'!AJ28</f>
        <v>57.368685599999999</v>
      </c>
      <c r="L11" s="5">
        <f>ASM_Annual_Elec_1970on!AC13</f>
        <v>41.228554572525958</v>
      </c>
      <c r="M11" s="5">
        <f>ASM_Annual_Elec_1970on!AD13</f>
        <v>40.860254194455955</v>
      </c>
      <c r="N11" s="5">
        <f>ASM_Annual_Elec_1970on!AE13</f>
        <v>42.559536231756297</v>
      </c>
      <c r="O11" s="5">
        <f>ASM_Annual_Elec_1970on!AF13</f>
        <v>41.919301686389602</v>
      </c>
      <c r="P11" s="5">
        <f>ASM_Annual_Elec_1970on!AG13</f>
        <v>42.442327456311915</v>
      </c>
      <c r="Q11" s="5">
        <f>ASM_Annual_Elec_1970on!AH13</f>
        <v>44.795820817640724</v>
      </c>
      <c r="R11" s="5">
        <f>ASM_Annual_Elec_1970on!AI13</f>
        <v>45.355872790684593</v>
      </c>
      <c r="S11" s="5">
        <f>ASM_Annual_Elec_1970on!AJ13</f>
        <v>47.033576643384293</v>
      </c>
      <c r="T11" s="5">
        <f>ASM_Annual_Elec_1970on!AK13</f>
        <v>47.738300535909723</v>
      </c>
      <c r="U11" s="5">
        <f>ASM_Annual_Elec_1970on!AL13</f>
        <v>48.749823471999996</v>
      </c>
      <c r="V11" s="5">
        <f>ASM_Annual_Elec_1970on!AM13</f>
        <v>50.323086435999997</v>
      </c>
      <c r="W11" s="5">
        <f>ASM_Annual_Elec_1970on!AN13</f>
        <v>50.350853291999996</v>
      </c>
      <c r="X11" s="5">
        <f>ASM_Annual_Elec_1970on!AO13</f>
        <v>52.926108060000004</v>
      </c>
      <c r="Y11" s="5">
        <f>ASM_Annual_Elec_1970on!AP13</f>
        <v>52.071531715999996</v>
      </c>
      <c r="Z11" s="5">
        <f>ASM_Annual_Elec_1970on!AQ13</f>
        <v>50.270889659999995</v>
      </c>
      <c r="AA11" s="5">
        <f>ASM_Annual_Elec_1970on!AR13</f>
        <v>51.488345851999995</v>
      </c>
      <c r="AB11" s="5">
        <f>ASM_Annual_Elec_1970on!AS13</f>
        <v>59.880651180000001</v>
      </c>
      <c r="AC11" s="5">
        <f>ASM_Annual_Elec_1970on!AT13</f>
        <v>61.317075883999998</v>
      </c>
      <c r="AD11" s="5">
        <f>ASM_Annual_Elec_1970on!AU13</f>
        <v>60.357440648000001</v>
      </c>
      <c r="AE11" s="5">
        <f>ASM_Annual_Elec_1970on!AV13</f>
        <v>57.377631864000001</v>
      </c>
      <c r="AF11" s="5">
        <f>ASM_Annual_Elec_1970on!AW13</f>
        <v>58.050478263999999</v>
      </c>
      <c r="AG11" s="5">
        <f>ASM_Annual_Elec_1970on!AX13</f>
        <v>47.950862727999997</v>
      </c>
      <c r="AH11" s="5">
        <f>ASM_Annual_Elec_1970on!AY13</f>
        <v>46.128059732000004</v>
      </c>
      <c r="AI11" s="5">
        <f>ASM_Annual_Elec_1970on!AZ13</f>
        <v>45.594692479999999</v>
      </c>
      <c r="AJ11" s="5">
        <f>ASM_Annual_Elec_1970on!BA13</f>
        <v>43.359470807999998</v>
      </c>
      <c r="AK11" s="5">
        <f>ASM_Annual_Elec_1970on!BB13</f>
        <v>43.347716468000002</v>
      </c>
      <c r="AL11" s="5">
        <f>ASM_Annual_Elec_1970on!BC13</f>
        <v>42.821162979999997</v>
      </c>
      <c r="AM11" s="5">
        <f>ASM_Annual_Elec_1970on!BD13</f>
        <v>41.974297755999999</v>
      </c>
      <c r="AN11" s="5">
        <f>ASM_Annual_Elec_1970on!BE13</f>
        <v>41.508273148000001</v>
      </c>
      <c r="AO11" s="5">
        <f>ASM_Annual_Elec_1970on!BF13</f>
        <v>34.702370395999999</v>
      </c>
      <c r="AP11" s="5"/>
    </row>
    <row r="12" spans="1:42" x14ac:dyDescent="0.2">
      <c r="F12" t="s">
        <v>108</v>
      </c>
      <c r="G12" s="7">
        <f>'ASM2'!AG29</f>
        <v>119.877208</v>
      </c>
      <c r="H12" s="7">
        <f>'ASM2'!AH29</f>
        <v>126.45008479999998</v>
      </c>
      <c r="I12" s="7">
        <f>'ASM2'!AI29</f>
        <v>114.11706960000001</v>
      </c>
      <c r="J12" s="7">
        <f>'ASM2'!AJ29</f>
        <v>117.47174799999999</v>
      </c>
      <c r="L12" s="5">
        <f>ASM_Annual_Elec_1970on!AC14</f>
        <v>117.47174800000001</v>
      </c>
      <c r="M12" s="5">
        <f>ASM_Annual_Elec_1970on!AD14</f>
        <v>116.4321116</v>
      </c>
      <c r="N12" s="5">
        <f>ASM_Annual_Elec_1970on!AE14</f>
        <v>120.3296392</v>
      </c>
      <c r="O12" s="5">
        <f>ASM_Annual_Elec_1970on!AF14</f>
        <v>119.63222639999999</v>
      </c>
      <c r="P12" s="5">
        <f>ASM_Annual_Elec_1970on!AG14</f>
        <v>120.65616759999999</v>
      </c>
      <c r="Q12" s="5">
        <f>ASM_Annual_Elec_1970on!AH14</f>
        <v>116.03256639999999</v>
      </c>
      <c r="R12" s="5">
        <f>ASM_Annual_Elec_1970on!AI14</f>
        <v>119.13475679999999</v>
      </c>
      <c r="S12" s="5">
        <f>ASM_Annual_Elec_1970on!AJ14</f>
        <v>121.335838</v>
      </c>
      <c r="T12" s="5">
        <f>ASM_Annual_Elec_1970on!AK14</f>
        <v>121.163532</v>
      </c>
      <c r="U12" s="5">
        <f>ASM_Annual_Elec_1970on!AL14</f>
        <v>118.26324158200001</v>
      </c>
      <c r="V12" s="5">
        <f>ASM_Annual_Elec_1970on!AM14</f>
        <v>115.36295116400001</v>
      </c>
      <c r="W12" s="5">
        <f>ASM_Annual_Elec_1970on!AN14</f>
        <v>113.69422044</v>
      </c>
      <c r="X12" s="5">
        <f>ASM_Annual_Elec_1970on!AO14</f>
        <v>134.34793673600001</v>
      </c>
      <c r="Y12" s="5">
        <f>ASM_Annual_Elec_1970on!AP14</f>
        <v>141.62263805199999</v>
      </c>
      <c r="Z12" s="5">
        <f>ASM_Annual_Elec_1970on!AQ14</f>
        <v>133.38386248799998</v>
      </c>
      <c r="AA12" s="5">
        <f>ASM_Annual_Elec_1970on!AR14</f>
        <v>136.040435452</v>
      </c>
      <c r="AB12" s="5">
        <f>ASM_Annual_Elec_1970on!AS14</f>
        <v>146.70073129999997</v>
      </c>
      <c r="AC12" s="5">
        <f>ASM_Annual_Elec_1970on!AT14</f>
        <v>167.58738483599998</v>
      </c>
      <c r="AD12" s="5">
        <f>ASM_Annual_Elec_1970on!AU14</f>
        <v>168.53377468799999</v>
      </c>
      <c r="AE12" s="5">
        <f>ASM_Annual_Elec_1970on!AV14</f>
        <v>167.6105762</v>
      </c>
      <c r="AF12" s="5">
        <f>ASM_Annual_Elec_1970on!AW14</f>
        <v>172.90319212399999</v>
      </c>
      <c r="AG12" s="5">
        <f>ASM_Annual_Elec_1970on!AX14</f>
        <v>163.05532759599998</v>
      </c>
      <c r="AH12" s="5">
        <f>ASM_Annual_Elec_1970on!AY14</f>
        <v>164.91379281599998</v>
      </c>
      <c r="AI12" s="5">
        <f>ASM_Annual_Elec_1970on!AZ14</f>
        <v>171.975315784</v>
      </c>
      <c r="AJ12" s="5">
        <f>ASM_Annual_Elec_1970on!BA14</f>
        <v>174.67706704</v>
      </c>
      <c r="AK12" s="5">
        <f>ASM_Annual_Elec_1970on!BB14</f>
        <v>175.214051012</v>
      </c>
      <c r="AL12" s="5">
        <f>ASM_Annual_Elec_1970on!BC14</f>
        <v>181.76113991600002</v>
      </c>
      <c r="AM12" s="5">
        <f>ASM_Annual_Elec_1970on!BD14</f>
        <v>180.96192668399999</v>
      </c>
      <c r="AN12" s="5">
        <f>ASM_Annual_Elec_1970on!BE14</f>
        <v>179.61001039600001</v>
      </c>
      <c r="AO12" s="5">
        <f>ASM_Annual_Elec_1970on!BF14</f>
        <v>192.05447175200001</v>
      </c>
      <c r="AP12" s="5"/>
    </row>
    <row r="13" spans="1:42" x14ac:dyDescent="0.2">
      <c r="F13" t="s">
        <v>109</v>
      </c>
      <c r="G13" s="7">
        <f>'ASM2'!AG30</f>
        <v>429.44284999999991</v>
      </c>
      <c r="H13" s="7">
        <f>'ASM2'!AH30</f>
        <v>408.37272640000003</v>
      </c>
      <c r="I13" s="7">
        <f>'ASM2'!AI30</f>
        <v>424.05530199999998</v>
      </c>
      <c r="J13" s="7">
        <f>'ASM2'!AJ30</f>
        <v>435.19582320000001</v>
      </c>
      <c r="L13" s="5">
        <f>ASM_Annual_Elec_1970on!AC15</f>
        <v>436.09388806745358</v>
      </c>
      <c r="M13" s="5">
        <f>ASM_Annual_Elec_1970on!AD15</f>
        <v>461.83742461517704</v>
      </c>
      <c r="N13" s="5">
        <f>ASM_Annual_Elec_1970on!AE15</f>
        <v>490.50716601146706</v>
      </c>
      <c r="O13" s="5">
        <f>ASM_Annual_Elec_1970on!AF15</f>
        <v>496.71773098954463</v>
      </c>
      <c r="P13" s="5">
        <f>ASM_Annual_Elec_1970on!AG15</f>
        <v>495.33325646542994</v>
      </c>
      <c r="Q13" s="5">
        <f>ASM_Annual_Elec_1970on!AH15</f>
        <v>505.41737125666094</v>
      </c>
      <c r="R13" s="5">
        <f>ASM_Annual_Elec_1970on!AI15</f>
        <v>529.47404492411465</v>
      </c>
      <c r="S13" s="5">
        <f>ASM_Annual_Elec_1970on!AJ15</f>
        <v>523.466804075548</v>
      </c>
      <c r="T13" s="5">
        <f>ASM_Annual_Elec_1970on!AK15</f>
        <v>548.79503290387856</v>
      </c>
      <c r="U13" s="5">
        <f>ASM_Annual_Elec_1970on!AL15</f>
        <v>535.96464723600002</v>
      </c>
      <c r="V13" s="5">
        <f>ASM_Annual_Elec_1970on!AM15</f>
        <v>520.46306800000002</v>
      </c>
      <c r="W13" s="5">
        <f>ASM_Annual_Elec_1970on!AN15</f>
        <v>542.14351992399997</v>
      </c>
      <c r="X13" s="5">
        <f>ASM_Annual_Elec_1970on!AO15</f>
        <v>555.82240193600001</v>
      </c>
      <c r="Y13" s="5">
        <f>ASM_Annual_Elec_1970on!AP15</f>
        <v>518.00046382400001</v>
      </c>
      <c r="Z13" s="5">
        <f>ASM_Annual_Elec_1970on!AQ15</f>
        <v>505.95882659999995</v>
      </c>
      <c r="AA13" s="5">
        <f>ASM_Annual_Elec_1970on!AR15</f>
        <v>541.32503912800007</v>
      </c>
      <c r="AB13" s="5">
        <f>ASM_Annual_Elec_1970on!AS15</f>
        <v>534.51343151200001</v>
      </c>
      <c r="AC13" s="5">
        <f>ASM_Annual_Elec_1970on!AT15</f>
        <v>521.76233371599994</v>
      </c>
      <c r="AD13" s="5">
        <f>ASM_Annual_Elec_1970on!AU15</f>
        <v>532.21748647599998</v>
      </c>
      <c r="AE13" s="5">
        <f>ASM_Annual_Elec_1970on!AV15</f>
        <v>550.50749882799994</v>
      </c>
      <c r="AF13" s="5">
        <f>ASM_Annual_Elec_1970on!AW15</f>
        <v>536.77850136000006</v>
      </c>
      <c r="AG13" s="5">
        <f>ASM_Annual_Elec_1970on!AX15</f>
        <v>469.80293055599998</v>
      </c>
      <c r="AH13" s="5">
        <f>ASM_Annual_Elec_1970on!AY15</f>
        <v>509.31938387599996</v>
      </c>
      <c r="AI13" s="5">
        <f>ASM_Annual_Elec_1970on!AZ15</f>
        <v>529.71076855199999</v>
      </c>
      <c r="AJ13" s="5">
        <f>ASM_Annual_Elec_1970on!BA15</f>
        <v>540.27317753199998</v>
      </c>
      <c r="AK13" s="5">
        <f>ASM_Annual_Elec_1970on!BB15</f>
        <v>529.74683339199998</v>
      </c>
      <c r="AL13" s="5">
        <f>ASM_Annual_Elec_1970on!BC15</f>
        <v>522.15054083999996</v>
      </c>
      <c r="AM13" s="5">
        <f>ASM_Annual_Elec_1970on!BD15</f>
        <v>518.67282913199995</v>
      </c>
      <c r="AN13" s="5">
        <f>ASM_Annual_Elec_1970on!BE15</f>
        <v>493.08530624400004</v>
      </c>
      <c r="AO13" s="5">
        <f>ASM_Annual_Elec_1970on!BF15</f>
        <v>503.75010251999998</v>
      </c>
      <c r="AP13" s="5"/>
    </row>
    <row r="14" spans="1:42" x14ac:dyDescent="0.2">
      <c r="F14" t="s">
        <v>110</v>
      </c>
      <c r="G14" s="7">
        <f>'ASM2'!AG31</f>
        <v>102.70972999999999</v>
      </c>
      <c r="H14" s="7">
        <f>'ASM2'!AH31</f>
        <v>106.52741680000001</v>
      </c>
      <c r="I14" s="7">
        <f>'ASM2'!AI31</f>
        <v>112.86896</v>
      </c>
      <c r="J14" s="7">
        <f>'ASM2'!AJ31</f>
        <v>118.67174839999998</v>
      </c>
      <c r="L14" s="5">
        <f>ASM_Annual_Elec_1970on!AC16</f>
        <v>116.07783040218577</v>
      </c>
      <c r="M14" s="5">
        <f>ASM_Annual_Elec_1970on!AD16</f>
        <v>118.75510933989071</v>
      </c>
      <c r="N14" s="5">
        <f>ASM_Annual_Elec_1970on!AE16</f>
        <v>122.40925133551912</v>
      </c>
      <c r="O14" s="5">
        <f>ASM_Annual_Elec_1970on!AF16</f>
        <v>120.58301469289617</v>
      </c>
      <c r="P14" s="5">
        <f>ASM_Annual_Elec_1970on!AG16</f>
        <v>126.47322860109288</v>
      </c>
      <c r="Q14" s="5">
        <f>ASM_Annual_Elec_1970on!AH16</f>
        <v>138.51030407431693</v>
      </c>
      <c r="R14" s="5">
        <f>ASM_Annual_Elec_1970on!AI16</f>
        <v>147.55271189508196</v>
      </c>
      <c r="S14" s="5">
        <f>ASM_Annual_Elec_1970on!AJ16</f>
        <v>154.46017165245902</v>
      </c>
      <c r="T14" s="5">
        <f>ASM_Annual_Elec_1970on!AK16</f>
        <v>166.77825795409836</v>
      </c>
      <c r="U14" s="5">
        <f>ASM_Annual_Elec_1970on!AL16</f>
        <v>170.17742038799997</v>
      </c>
      <c r="V14" s="5">
        <f>ASM_Annual_Elec_1970on!AM16</f>
        <v>171.04344057999998</v>
      </c>
      <c r="W14" s="5">
        <f>ASM_Annual_Elec_1970on!AN16</f>
        <v>180.8895684</v>
      </c>
      <c r="X14" s="5">
        <f>ASM_Annual_Elec_1970on!AO16</f>
        <v>186.67535139199998</v>
      </c>
      <c r="Y14" s="5">
        <f>ASM_Annual_Elec_1970on!AP16</f>
        <v>188.27252565200001</v>
      </c>
      <c r="Z14" s="5">
        <f>ASM_Annual_Elec_1970on!AQ16</f>
        <v>184.49908566799999</v>
      </c>
      <c r="AA14" s="5">
        <f>ASM_Annual_Elec_1970on!AR16</f>
        <v>189.65162875599998</v>
      </c>
      <c r="AB14" s="5">
        <f>ASM_Annual_Elec_1970on!AS16</f>
        <v>216.57722544799998</v>
      </c>
      <c r="AC14" s="5">
        <f>ASM_Annual_Elec_1970on!AT16</f>
        <v>223.40631956399997</v>
      </c>
      <c r="AD14" s="5">
        <f>ASM_Annual_Elec_1970on!AU16</f>
        <v>220.01886207999999</v>
      </c>
      <c r="AE14" s="5">
        <f>ASM_Annual_Elec_1970on!AV16</f>
        <v>207.53010613999999</v>
      </c>
      <c r="AF14" s="5">
        <f>ASM_Annual_Elec_1970on!AW16</f>
        <v>199.834729108</v>
      </c>
      <c r="AG14" s="5">
        <f>ASM_Annual_Elec_1970on!AX16</f>
        <v>163.97076378400001</v>
      </c>
      <c r="AH14" s="5">
        <f>ASM_Annual_Elec_1970on!AY16</f>
        <v>171.66115588400001</v>
      </c>
      <c r="AI14" s="5">
        <f>ASM_Annual_Elec_1970on!AZ16</f>
        <v>175.84163040799999</v>
      </c>
      <c r="AJ14" s="5">
        <f>ASM_Annual_Elec_1970on!BA16</f>
        <v>178.53335720800001</v>
      </c>
      <c r="AK14" s="5">
        <f>ASM_Annual_Elec_1970on!BB16</f>
        <v>179.59327794799998</v>
      </c>
      <c r="AL14" s="5">
        <f>ASM_Annual_Elec_1970on!BC16</f>
        <v>178.72704962399999</v>
      </c>
      <c r="AM14" s="5">
        <f>ASM_Annual_Elec_1970on!BD16</f>
        <v>181.37546449599998</v>
      </c>
      <c r="AN14" s="5">
        <f>ASM_Annual_Elec_1970on!BE16</f>
        <v>179.65944003999999</v>
      </c>
      <c r="AO14" s="5">
        <f>ASM_Annual_Elec_1970on!BF16</f>
        <v>168.140862416</v>
      </c>
      <c r="AP14" s="5"/>
    </row>
    <row r="15" spans="1:42" x14ac:dyDescent="0.2">
      <c r="F15" t="s">
        <v>111</v>
      </c>
      <c r="G15" s="7">
        <f>'ASM2'!AG32</f>
        <v>104.12332160000001</v>
      </c>
      <c r="H15" s="7">
        <f>'ASM2'!AH32</f>
        <v>107.91610079999998</v>
      </c>
      <c r="I15" s="7">
        <f>'ASM2'!AI32</f>
        <v>113.658838</v>
      </c>
      <c r="J15" s="7">
        <f>'ASM2'!AJ32</f>
        <v>116.29324320000001</v>
      </c>
      <c r="L15" s="5">
        <f>ASM_Annual_Elec_1970on!AC17</f>
        <v>116.29324320000001</v>
      </c>
      <c r="M15" s="5">
        <f>ASM_Annual_Elec_1970on!AD17</f>
        <v>113.7366316</v>
      </c>
      <c r="N15" s="5">
        <f>ASM_Annual_Elec_1970on!AE17</f>
        <v>115.537144</v>
      </c>
      <c r="O15" s="5">
        <f>ASM_Annual_Elec_1970on!AF17</f>
        <v>112.2251156</v>
      </c>
      <c r="P15" s="5">
        <f>ASM_Annual_Elec_1970on!AG17</f>
        <v>115.1096204</v>
      </c>
      <c r="Q15" s="5">
        <f>ASM_Annual_Elec_1970on!AH17</f>
        <v>117.2912532</v>
      </c>
      <c r="R15" s="5">
        <f>ASM_Annual_Elec_1970on!AI17</f>
        <v>119.70421959999999</v>
      </c>
      <c r="S15" s="5">
        <f>ASM_Annual_Elec_1970on!AJ17</f>
        <v>123.5822988</v>
      </c>
      <c r="T15" s="5">
        <f>ASM_Annual_Elec_1970on!AK17</f>
        <v>127.288072</v>
      </c>
      <c r="U15" s="5">
        <f>ASM_Annual_Elec_1970on!AL17</f>
        <v>128.38429642</v>
      </c>
      <c r="V15" s="5">
        <f>ASM_Annual_Elec_1970on!AM17</f>
        <v>131.55392499999999</v>
      </c>
      <c r="W15" s="5">
        <f>ASM_Annual_Elec_1970on!AN17</f>
        <v>137.15007926800001</v>
      </c>
      <c r="X15" s="5">
        <f>ASM_Annual_Elec_1970on!AO17</f>
        <v>140.30935583999999</v>
      </c>
      <c r="Y15" s="5">
        <f>ASM_Annual_Elec_1970on!AP17</f>
        <v>140.31999104400001</v>
      </c>
      <c r="Z15" s="5">
        <f>ASM_Annual_Elec_1970on!AQ17</f>
        <v>139.16903131999999</v>
      </c>
      <c r="AA15" s="5">
        <f>ASM_Annual_Elec_1970on!AR17</f>
        <v>139.718660164</v>
      </c>
      <c r="AB15" s="5">
        <f>ASM_Annual_Elec_1970on!AS17</f>
        <v>151.96005633999999</v>
      </c>
      <c r="AC15" s="5">
        <f>ASM_Annual_Elec_1970on!AT17</f>
        <v>158.331884452</v>
      </c>
      <c r="AD15" s="5">
        <f>ASM_Annual_Elec_1970on!AU17</f>
        <v>157.69310346</v>
      </c>
      <c r="AE15" s="5">
        <f>ASM_Annual_Elec_1970on!AV17</f>
        <v>156.99244243599998</v>
      </c>
      <c r="AF15" s="5">
        <f>ASM_Annual_Elec_1970on!AW17</f>
        <v>148.58574188</v>
      </c>
      <c r="AG15" s="5">
        <f>ASM_Annual_Elec_1970on!AX17</f>
        <v>117.327584176</v>
      </c>
      <c r="AH15" s="5">
        <f>ASM_Annual_Elec_1970on!AY17</f>
        <v>120.60719175200001</v>
      </c>
      <c r="AI15" s="5">
        <f>ASM_Annual_Elec_1970on!AZ17</f>
        <v>120.78136070399999</v>
      </c>
      <c r="AJ15" s="5">
        <f>ASM_Annual_Elec_1970on!BA17</f>
        <v>120.404798736</v>
      </c>
      <c r="AK15" s="5">
        <f>ASM_Annual_Elec_1970on!BB17</f>
        <v>119.71339788</v>
      </c>
      <c r="AL15" s="5">
        <f>ASM_Annual_Elec_1970on!BC17</f>
        <v>121.96623911999998</v>
      </c>
      <c r="AM15" s="5">
        <f>ASM_Annual_Elec_1970on!BD17</f>
        <v>125.64074134000001</v>
      </c>
      <c r="AN15" s="5">
        <f>ASM_Annual_Elec_1970on!BE17</f>
        <v>126.29095253199999</v>
      </c>
      <c r="AO15" s="5">
        <f>ASM_Annual_Elec_1970on!BF17</f>
        <v>124.541934036</v>
      </c>
      <c r="AP15" s="5"/>
    </row>
    <row r="16" spans="1:42" x14ac:dyDescent="0.2">
      <c r="D16">
        <f>150398*3.412*0.001</f>
        <v>513.15797599999996</v>
      </c>
      <c r="F16" t="s">
        <v>112</v>
      </c>
      <c r="G16" s="7">
        <f>'ASM2'!AG33</f>
        <v>454.3153064</v>
      </c>
      <c r="H16" s="7">
        <f>'ASM2'!AH33</f>
        <v>428.01424559999998</v>
      </c>
      <c r="I16" s="7">
        <f>'ASM2'!AI33</f>
        <v>445.84160439999999</v>
      </c>
      <c r="J16" s="7">
        <f>'ASM2'!AJ33</f>
        <v>513.15797599999996</v>
      </c>
      <c r="L16" s="5">
        <f>ASM_Annual_Elec_1970on!AC18</f>
        <v>499.72452113089003</v>
      </c>
      <c r="M16" s="5">
        <f>ASM_Annual_Elec_1970on!AD18</f>
        <v>488.47492132774869</v>
      </c>
      <c r="N16" s="5">
        <f>ASM_Annual_Elec_1970on!AE18</f>
        <v>494.40657078534031</v>
      </c>
      <c r="O16" s="5">
        <f>ASM_Annual_Elec_1970on!AF18</f>
        <v>490.50840187225128</v>
      </c>
      <c r="P16" s="5">
        <f>ASM_Annual_Elec_1970on!AG18</f>
        <v>478.26664963350788</v>
      </c>
      <c r="Q16" s="5">
        <f>ASM_Annual_Elec_1970on!AH18</f>
        <v>470.67033718115181</v>
      </c>
      <c r="R16" s="5">
        <f>ASM_Annual_Elec_1970on!AI18</f>
        <v>475.66366162931934</v>
      </c>
      <c r="S16" s="5">
        <f>ASM_Annual_Elec_1970on!AJ18</f>
        <v>470.03205023246073</v>
      </c>
      <c r="T16" s="5">
        <f>ASM_Annual_Elec_1970on!AK18</f>
        <v>479.4804248670157</v>
      </c>
      <c r="U16" s="5">
        <f>ASM_Annual_Elec_1970on!AL18</f>
        <v>452.448700148</v>
      </c>
      <c r="V16" s="5">
        <f>ASM_Annual_Elec_1970on!AM18</f>
        <v>444.10567774799995</v>
      </c>
      <c r="W16" s="5">
        <f>ASM_Annual_Elec_1970on!AN18</f>
        <v>456.774188084</v>
      </c>
      <c r="X16" s="5">
        <f>ASM_Annual_Elec_1970on!AO18</f>
        <v>467.44607449599999</v>
      </c>
      <c r="Y16" s="5">
        <f>ASM_Annual_Elec_1970on!AP18</f>
        <v>424.81313449599998</v>
      </c>
      <c r="Z16" s="5">
        <f>ASM_Annual_Elec_1970on!AQ18</f>
        <v>450.38293204399997</v>
      </c>
      <c r="AA16" s="5">
        <f>ASM_Annual_Elec_1970on!AR18</f>
        <v>428.65577325199996</v>
      </c>
      <c r="AB16" s="5">
        <f>ASM_Annual_Elec_1970on!AS18</f>
        <v>439.55877489599999</v>
      </c>
      <c r="AC16" s="5">
        <f>ASM_Annual_Elec_1970on!AT18</f>
        <v>456.79283125199998</v>
      </c>
      <c r="AD16" s="5">
        <f>ASM_Annual_Elec_1970on!AU18</f>
        <v>443.67349676800001</v>
      </c>
      <c r="AE16" s="5">
        <f>ASM_Annual_Elec_1970on!AV18</f>
        <v>466.72509842399995</v>
      </c>
      <c r="AF16" s="5">
        <f>ASM_Annual_Elec_1970on!AW18</f>
        <v>473.65823124400004</v>
      </c>
      <c r="AG16" s="5">
        <f>ASM_Annual_Elec_1970on!AX18</f>
        <v>354.88301735599998</v>
      </c>
      <c r="AH16" s="5">
        <f>ASM_Annual_Elec_1970on!AY18</f>
        <v>403.28624645599996</v>
      </c>
      <c r="AI16" s="5">
        <f>ASM_Annual_Elec_1970on!AZ18</f>
        <v>465.72311003200002</v>
      </c>
      <c r="AJ16" s="5">
        <f>ASM_Annual_Elec_1970on!BA18</f>
        <v>454.57251319599999</v>
      </c>
      <c r="AK16" s="5">
        <f>ASM_Annual_Elec_1970on!BB18</f>
        <v>418.22865689599996</v>
      </c>
      <c r="AL16" s="5">
        <f>ASM_Annual_Elec_1970on!BC18</f>
        <v>405.70103486399995</v>
      </c>
      <c r="AM16" s="5">
        <f>ASM_Annual_Elec_1970on!BD18</f>
        <v>396.96090343200001</v>
      </c>
      <c r="AN16" s="5">
        <f>ASM_Annual_Elec_1970on!BE18</f>
        <v>332.5990304</v>
      </c>
      <c r="AO16" s="5">
        <f>ASM_Annual_Elec_1970on!BF18</f>
        <v>331.84799801999998</v>
      </c>
      <c r="AP16" s="5"/>
    </row>
    <row r="17" spans="6:81" x14ac:dyDescent="0.2">
      <c r="F17" t="s">
        <v>113</v>
      </c>
      <c r="G17" s="7">
        <f>'ASM2'!AG34</f>
        <v>95.447629199999994</v>
      </c>
      <c r="H17" s="7">
        <f>'ASM2'!AH34</f>
        <v>93.285103599999999</v>
      </c>
      <c r="I17" s="7">
        <f>'ASM2'!AI34</f>
        <v>107.30296439999998</v>
      </c>
      <c r="J17" s="7">
        <f>'ASM2'!AJ34</f>
        <v>112.8068616</v>
      </c>
      <c r="L17" s="5">
        <f>ASM_Annual_Elec_1970on!AC19</f>
        <v>118.75029238507044</v>
      </c>
      <c r="M17" s="5">
        <f>ASM_Annual_Elec_1970on!AD19</f>
        <v>120.58309233333516</v>
      </c>
      <c r="N17" s="5">
        <f>ASM_Annual_Elec_1970on!AE19</f>
        <v>120.9145451690495</v>
      </c>
      <c r="O17" s="5">
        <f>ASM_Annual_Elec_1970on!AF19</f>
        <v>118.55444953613846</v>
      </c>
      <c r="P17" s="5">
        <f>ASM_Annual_Elec_1970on!AG19</f>
        <v>114.50817795082392</v>
      </c>
      <c r="Q17" s="5">
        <f>ASM_Annual_Elec_1970on!AH19</f>
        <v>121.96741559942353</v>
      </c>
      <c r="R17" s="5">
        <f>ASM_Annual_Elec_1970on!AI19</f>
        <v>123.24366390142647</v>
      </c>
      <c r="S17" s="5">
        <f>ASM_Annual_Elec_1970on!AJ19</f>
        <v>130.09231242172157</v>
      </c>
      <c r="T17" s="5">
        <f>ASM_Annual_Elec_1970on!AK19</f>
        <v>135.3525343201872</v>
      </c>
      <c r="U17" s="5">
        <f>ASM_Annual_Elec_1970on!AL19</f>
        <v>141.63235883999999</v>
      </c>
      <c r="V17" s="5">
        <f>ASM_Annual_Elec_1970on!AM19</f>
        <v>145.711790396</v>
      </c>
      <c r="W17" s="5">
        <f>ASM_Annual_Elec_1970on!AN19</f>
        <v>154.172833876</v>
      </c>
      <c r="X17" s="5">
        <f>ASM_Annual_Elec_1970on!AO19</f>
        <v>159.80022841600001</v>
      </c>
      <c r="Y17" s="5">
        <f>ASM_Annual_Elec_1970on!AP19</f>
        <v>156.85912877199999</v>
      </c>
      <c r="Z17" s="5">
        <f>ASM_Annual_Elec_1970on!AQ19</f>
        <v>139.449968576</v>
      </c>
      <c r="AA17" s="5">
        <f>ASM_Annual_Elec_1970on!AR19</f>
        <v>144.44251274799998</v>
      </c>
      <c r="AB17" s="5">
        <f>ASM_Annual_Elec_1970on!AS19</f>
        <v>168.11313650400001</v>
      </c>
      <c r="AC17" s="5">
        <f>ASM_Annual_Elec_1970on!AT19</f>
        <v>180.60769625599997</v>
      </c>
      <c r="AD17" s="5">
        <f>ASM_Annual_Elec_1970on!AU19</f>
        <v>179.19403641600002</v>
      </c>
      <c r="AE17" s="5">
        <f>ASM_Annual_Elec_1970on!AV19</f>
        <v>162.483268264</v>
      </c>
      <c r="AF17" s="5">
        <f>ASM_Annual_Elec_1970on!AW19</f>
        <v>166.160735512</v>
      </c>
      <c r="AG17" s="5">
        <f>ASM_Annual_Elec_1970on!AX19</f>
        <v>128.06374925599999</v>
      </c>
      <c r="AH17" s="5">
        <f>ASM_Annual_Elec_1970on!AY19</f>
        <v>135.48137584</v>
      </c>
      <c r="AI17" s="5">
        <f>ASM_Annual_Elec_1970on!AZ19</f>
        <v>148.81893502</v>
      </c>
      <c r="AJ17" s="5">
        <f>ASM_Annual_Elec_1970on!BA19</f>
        <v>141.51061867999999</v>
      </c>
      <c r="AK17" s="5">
        <f>ASM_Annual_Elec_1970on!BB19</f>
        <v>146.36505874000002</v>
      </c>
      <c r="AL17" s="5">
        <f>ASM_Annual_Elec_1970on!BC19</f>
        <v>149.814583916</v>
      </c>
      <c r="AM17" s="5">
        <f>ASM_Annual_Elec_1970on!BD19</f>
        <v>147.86258895199998</v>
      </c>
      <c r="AN17" s="5">
        <f>ASM_Annual_Elec_1970on!BE19</f>
        <v>143.28888484000001</v>
      </c>
      <c r="AO17" s="5">
        <f>ASM_Annual_Elec_1970on!BF19</f>
        <v>136.667445044</v>
      </c>
      <c r="AP17" s="5"/>
    </row>
    <row r="18" spans="6:81" x14ac:dyDescent="0.2">
      <c r="F18" t="s">
        <v>114</v>
      </c>
      <c r="G18" s="7">
        <f>'ASM2'!AG35</f>
        <v>91.40918600000002</v>
      </c>
      <c r="H18" s="7">
        <f>'ASM2'!AH35</f>
        <v>89.682031599999988</v>
      </c>
      <c r="I18" s="7">
        <f>'ASM2'!AI35</f>
        <v>100.69016720000002</v>
      </c>
      <c r="J18" s="7">
        <f>'ASM2'!AJ35</f>
        <v>105.40452760000001</v>
      </c>
      <c r="L18" s="5">
        <f>ASM_Annual_Elec_1970on!AC20</f>
        <v>77.692193284222668</v>
      </c>
      <c r="M18" s="5">
        <f>ASM_Annual_Elec_1970on!AD20</f>
        <v>82.222593006052819</v>
      </c>
      <c r="N18" s="5">
        <f>ASM_Annual_Elec_1970on!AE20</f>
        <v>83.868091472972651</v>
      </c>
      <c r="O18" s="5">
        <f>ASM_Annual_Elec_1970on!AF20</f>
        <v>82.396721447131014</v>
      </c>
      <c r="P18" s="5">
        <f>ASM_Annual_Elec_1970on!AG20</f>
        <v>76.935392520099057</v>
      </c>
      <c r="Q18" s="5">
        <f>ASM_Annual_Elec_1970on!AH20</f>
        <v>80.611369381665114</v>
      </c>
      <c r="R18" s="5">
        <f>ASM_Annual_Elec_1970on!AI20</f>
        <v>85.185224707419891</v>
      </c>
      <c r="S18" s="5">
        <f>ASM_Annual_Elec_1970on!AJ20</f>
        <v>86.617117459273658</v>
      </c>
      <c r="T18" s="5">
        <f>ASM_Annual_Elec_1970on!AK20</f>
        <v>87.864782932517485</v>
      </c>
      <c r="U18" s="5">
        <f>ASM_Annual_Elec_1970on!AL20</f>
        <v>91.946374692000006</v>
      </c>
      <c r="V18" s="5">
        <f>ASM_Annual_Elec_1970on!AM20</f>
        <v>92.773699392000012</v>
      </c>
      <c r="W18" s="5">
        <f>ASM_Annual_Elec_1970on!AN20</f>
        <v>90.795930179999999</v>
      </c>
      <c r="X18" s="5">
        <f>ASM_Annual_Elec_1970on!AO20</f>
        <v>94.666874887999995</v>
      </c>
      <c r="Y18" s="5">
        <f>ASM_Annual_Elec_1970on!AP20</f>
        <v>92.647602108000001</v>
      </c>
      <c r="Z18" s="5">
        <f>ASM_Annual_Elec_1970on!AQ20</f>
        <v>82.569779015999998</v>
      </c>
      <c r="AA18" s="5">
        <f>ASM_Annual_Elec_1970on!AR20</f>
        <v>82.280649548</v>
      </c>
      <c r="AB18" s="5">
        <f>ASM_Annual_Elec_1970on!AS20</f>
        <v>96.618532063999993</v>
      </c>
      <c r="AC18" s="5">
        <f>ASM_Annual_Elec_1970on!AT20</f>
        <v>103.62875561200001</v>
      </c>
      <c r="AD18" s="5">
        <f>ASM_Annual_Elec_1970on!AU20</f>
        <v>106.736016244</v>
      </c>
      <c r="AE18" s="5">
        <f>ASM_Annual_Elec_1970on!AV20</f>
        <v>105.377490912</v>
      </c>
      <c r="AF18" s="5">
        <f>ASM_Annual_Elec_1970on!AW20</f>
        <v>102.92644659199999</v>
      </c>
      <c r="AG18" s="5">
        <f>ASM_Annual_Elec_1970on!AX20</f>
        <v>80.589184668000001</v>
      </c>
      <c r="AH18" s="5">
        <f>ASM_Annual_Elec_1970on!AY20</f>
        <v>80.164175712000002</v>
      </c>
      <c r="AI18" s="5">
        <f>ASM_Annual_Elec_1970on!AZ20</f>
        <v>88.023710887999997</v>
      </c>
      <c r="AJ18" s="5">
        <f>ASM_Annual_Elec_1970on!BA20</f>
        <v>83.639372775999988</v>
      </c>
      <c r="AK18" s="5">
        <f>ASM_Annual_Elec_1970on!BB20</f>
        <v>85.032806280000003</v>
      </c>
      <c r="AL18" s="5">
        <f>ASM_Annual_Elec_1970on!BC20</f>
        <v>87.051430780000004</v>
      </c>
      <c r="AM18" s="5">
        <f>ASM_Annual_Elec_1970on!BD20</f>
        <v>84.493259895999998</v>
      </c>
      <c r="AN18" s="5">
        <f>ASM_Annual_Elec_1970on!BE20</f>
        <v>83.189463043999993</v>
      </c>
      <c r="AO18" s="5">
        <f>ASM_Annual_Elec_1970on!BF20</f>
        <v>80.275877767999987</v>
      </c>
      <c r="AP18" s="5"/>
    </row>
    <row r="19" spans="6:81" x14ac:dyDescent="0.2">
      <c r="F19" t="s">
        <v>115</v>
      </c>
      <c r="G19" s="7">
        <f>'ASM2'!AG36</f>
        <v>101.92428760000001</v>
      </c>
      <c r="H19" s="7">
        <f>'ASM2'!AH36</f>
        <v>106.58234999999999</v>
      </c>
      <c r="I19" s="7">
        <f>'ASM2'!AI36</f>
        <v>114.093868</v>
      </c>
      <c r="J19" s="7">
        <f>'ASM2'!AJ36</f>
        <v>116.572686</v>
      </c>
      <c r="L19" s="5">
        <f>ASM_Annual_Elec_1970on!AC21</f>
        <v>120.097983423326</v>
      </c>
      <c r="M19" s="5">
        <f>ASM_Annual_Elec_1970on!AD21</f>
        <v>123.33101691991858</v>
      </c>
      <c r="N19" s="5">
        <f>ASM_Annual_Elec_1970on!AE21</f>
        <v>126.73288702710265</v>
      </c>
      <c r="O19" s="5">
        <f>ASM_Annual_Elec_1970on!AF21</f>
        <v>125.49737823004109</v>
      </c>
      <c r="P19" s="5">
        <f>ASM_Annual_Elec_1970on!AG21</f>
        <v>121.64152523659999</v>
      </c>
      <c r="Q19" s="5">
        <f>ASM_Annual_Elec_1970on!AH21</f>
        <v>123.37528963114035</v>
      </c>
      <c r="R19" s="5">
        <f>ASM_Annual_Elec_1970on!AI21</f>
        <v>124.94734607198089</v>
      </c>
      <c r="S19" s="5">
        <f>ASM_Annual_Elec_1970on!AJ21</f>
        <v>125.59605384912012</v>
      </c>
      <c r="T19" s="5">
        <f>ASM_Annual_Elec_1970on!AK21</f>
        <v>126.7992960939353</v>
      </c>
      <c r="U19" s="5">
        <f>ASM_Annual_Elec_1970on!AL21</f>
        <v>128.99854854399999</v>
      </c>
      <c r="V19" s="5">
        <f>ASM_Annual_Elec_1970on!AM21</f>
        <v>127.959284052</v>
      </c>
      <c r="W19" s="5">
        <f>ASM_Annual_Elec_1970on!AN21</f>
        <v>123.546483036</v>
      </c>
      <c r="X19" s="5">
        <f>ASM_Annual_Elec_1970on!AO21</f>
        <v>133.54378634</v>
      </c>
      <c r="Y19" s="5">
        <f>ASM_Annual_Elec_1970on!AP21</f>
        <v>128.93979731600001</v>
      </c>
      <c r="Z19" s="5">
        <f>ASM_Annual_Elec_1970on!AQ21</f>
        <v>111.118071728</v>
      </c>
      <c r="AA19" s="5">
        <f>ASM_Annual_Elec_1970on!AR21</f>
        <v>112.69819281199999</v>
      </c>
      <c r="AB19" s="5">
        <f>ASM_Annual_Elec_1970on!AS21</f>
        <v>116.681218308</v>
      </c>
      <c r="AC19" s="5">
        <f>ASM_Annual_Elec_1970on!AT21</f>
        <v>116.74021861200001</v>
      </c>
      <c r="AD19" s="5">
        <f>ASM_Annual_Elec_1970on!AU21</f>
        <v>117.602925752</v>
      </c>
      <c r="AE19" s="5">
        <f>ASM_Annual_Elec_1970on!AV21</f>
        <v>115.96706964800001</v>
      </c>
      <c r="AF19" s="5">
        <f>ASM_Annual_Elec_1970on!AW21</f>
        <v>114.43627584799999</v>
      </c>
      <c r="AG19" s="5">
        <f>ASM_Annual_Elec_1970on!AX21</f>
        <v>100.66183054</v>
      </c>
      <c r="AH19" s="5">
        <f>ASM_Annual_Elec_1970on!AY21</f>
        <v>94.309365528000001</v>
      </c>
      <c r="AI19" s="5">
        <f>ASM_Annual_Elec_1970on!AZ21</f>
        <v>94.879961112000004</v>
      </c>
      <c r="AJ19" s="5">
        <f>ASM_Annual_Elec_1970on!BA21</f>
        <v>141.09177179600002</v>
      </c>
      <c r="AK19" s="5">
        <f>ASM_Annual_Elec_1970on!BB21</f>
        <v>126.094001656</v>
      </c>
      <c r="AL19" s="5">
        <f>ASM_Annual_Elec_1970on!BC21</f>
        <v>150.502760432</v>
      </c>
      <c r="AM19" s="5">
        <f>ASM_Annual_Elec_1970on!BD21</f>
        <v>161.45564210399999</v>
      </c>
      <c r="AN19" s="5">
        <f>ASM_Annual_Elec_1970on!BE21</f>
        <v>165.44328744799998</v>
      </c>
      <c r="AO19" s="5">
        <f>ASM_Annual_Elec_1970on!BF21</f>
        <v>161.63330153200002</v>
      </c>
      <c r="AP19" s="5"/>
    </row>
    <row r="20" spans="6:81" x14ac:dyDescent="0.2">
      <c r="F20" t="s">
        <v>116</v>
      </c>
      <c r="G20" s="7">
        <f>'ASM2'!AG37</f>
        <v>46.962085600000002</v>
      </c>
      <c r="H20" s="7">
        <f>'ASM2'!AH37</f>
        <v>47.870360000000005</v>
      </c>
      <c r="I20" s="7">
        <f>'ASM2'!AI37</f>
        <v>50.752476399999999</v>
      </c>
      <c r="J20" s="7">
        <f>'ASM2'!AJ37</f>
        <v>52.4536996</v>
      </c>
      <c r="L20" s="5">
        <f>ASM_Annual_Elec_1970on!AC22</f>
        <v>53.163690091160618</v>
      </c>
      <c r="M20" s="5">
        <f>ASM_Annual_Elec_1970on!AD22</f>
        <v>53.39730074266356</v>
      </c>
      <c r="N20" s="5">
        <f>ASM_Annual_Elec_1970on!AE22</f>
        <v>53.927901631120662</v>
      </c>
      <c r="O20" s="5">
        <f>ASM_Annual_Elec_1970on!AF22</f>
        <v>51.473161533067156</v>
      </c>
      <c r="P20" s="5">
        <f>ASM_Annual_Elec_1970on!AG22</f>
        <v>49.12202268046277</v>
      </c>
      <c r="Q20" s="5">
        <f>ASM_Annual_Elec_1970on!AH22</f>
        <v>51.668175642147865</v>
      </c>
      <c r="R20" s="5">
        <f>ASM_Annual_Elec_1970on!AI22</f>
        <v>52.586367072402908</v>
      </c>
      <c r="S20" s="5">
        <f>ASM_Annual_Elec_1970on!AJ22</f>
        <v>53.684133994769773</v>
      </c>
      <c r="T20" s="5">
        <f>ASM_Annual_Elec_1970on!AK22</f>
        <v>53.999000525056346</v>
      </c>
      <c r="U20" s="5">
        <f>ASM_Annual_Elec_1970on!AL22</f>
        <v>56.083009879999999</v>
      </c>
      <c r="V20" s="5">
        <f>ASM_Annual_Elec_1970on!AM22</f>
        <v>55.019660080000001</v>
      </c>
      <c r="W20" s="5">
        <f>ASM_Annual_Elec_1970on!AN22</f>
        <v>54.704630119999997</v>
      </c>
      <c r="X20" s="5">
        <f>ASM_Annual_Elec_1970on!AO22</f>
        <v>55.079076648000004</v>
      </c>
      <c r="Y20" s="5">
        <f>ASM_Annual_Elec_1970on!AP22</f>
        <v>52.979321611999993</v>
      </c>
      <c r="Z20" s="5">
        <f>ASM_Annual_Elec_1970on!AQ22</f>
        <v>47.035614199999998</v>
      </c>
      <c r="AA20" s="5">
        <f>ASM_Annual_Elec_1970on!AR22</f>
        <v>46.385491719999997</v>
      </c>
      <c r="AB20" s="5">
        <f>ASM_Annual_Elec_1970on!AS22</f>
        <v>48.922020288000006</v>
      </c>
      <c r="AC20" s="5">
        <f>ASM_Annual_Elec_1970on!AT22</f>
        <v>51.191931763999996</v>
      </c>
      <c r="AD20" s="5">
        <f>ASM_Annual_Elec_1970on!AU22</f>
        <v>51.663726063999995</v>
      </c>
      <c r="AE20" s="5">
        <f>ASM_Annual_Elec_1970on!AV22</f>
        <v>52.612490668</v>
      </c>
      <c r="AF20" s="5">
        <f>ASM_Annual_Elec_1970on!AW22</f>
        <v>50.072976600000004</v>
      </c>
      <c r="AG20" s="5">
        <f>ASM_Annual_Elec_1970on!AX22</f>
        <v>39.156026699999998</v>
      </c>
      <c r="AH20" s="5">
        <f>ASM_Annual_Elec_1970on!AY22</f>
        <v>39.913531644000003</v>
      </c>
      <c r="AI20" s="5">
        <f>ASM_Annual_Elec_1970on!AZ22</f>
        <v>43.524294291999993</v>
      </c>
      <c r="AJ20" s="5">
        <f>ASM_Annual_Elec_1970on!BA22</f>
        <v>42.068765799999994</v>
      </c>
      <c r="AK20" s="5">
        <f>ASM_Annual_Elec_1970on!BB22</f>
        <v>38.609277583999997</v>
      </c>
      <c r="AL20" s="5">
        <f>ASM_Annual_Elec_1970on!BC22</f>
        <v>36.611210383999996</v>
      </c>
      <c r="AM20" s="5">
        <f>ASM_Annual_Elec_1970on!BD22</f>
        <v>36.592806056000001</v>
      </c>
      <c r="AN20" s="5">
        <f>ASM_Annual_Elec_1970on!BE22</f>
        <v>34.956301671999995</v>
      </c>
      <c r="AO20" s="5">
        <f>ASM_Annual_Elec_1970on!BF22</f>
        <v>32.039222507999995</v>
      </c>
      <c r="AP20" s="5"/>
    </row>
    <row r="21" spans="6:81" x14ac:dyDescent="0.2">
      <c r="F21" t="s">
        <v>117</v>
      </c>
      <c r="G21" s="7">
        <f>'ASM2'!AG38</f>
        <v>117.83819680000001</v>
      </c>
      <c r="H21" s="7">
        <f>'ASM2'!AH38</f>
        <v>122.2560544</v>
      </c>
      <c r="I21" s="7">
        <f>'ASM2'!AI38</f>
        <v>130.64957439999998</v>
      </c>
      <c r="J21" s="7">
        <f>'ASM2'!AJ38</f>
        <v>143.94989159999997</v>
      </c>
      <c r="L21" s="5">
        <f>ASM_Annual_Elec_1970on!AC23</f>
        <v>154.05119390842597</v>
      </c>
      <c r="M21" s="5">
        <f>ASM_Annual_Elec_1970on!AD23</f>
        <v>152.37196480633253</v>
      </c>
      <c r="N21" s="5">
        <f>ASM_Annual_Elec_1970on!AE23</f>
        <v>153.23725770984589</v>
      </c>
      <c r="O21" s="5">
        <f>ASM_Annual_Elec_1970on!AF23</f>
        <v>146.74468901249639</v>
      </c>
      <c r="P21" s="5">
        <f>ASM_Annual_Elec_1970on!AG23</f>
        <v>151.69351570431976</v>
      </c>
      <c r="Q21" s="5">
        <f>ASM_Annual_Elec_1970on!AH23</f>
        <v>158.65707944559645</v>
      </c>
      <c r="R21" s="5">
        <f>ASM_Annual_Elec_1970on!AI23</f>
        <v>162.54126812923144</v>
      </c>
      <c r="S21" s="5">
        <f>ASM_Annual_Elec_1970on!AJ23</f>
        <v>165.69294802145021</v>
      </c>
      <c r="T21" s="5">
        <f>ASM_Annual_Elec_1970on!AK23</f>
        <v>164.64250068173021</v>
      </c>
      <c r="U21" s="5">
        <f>ASM_Annual_Elec_1970on!AL23</f>
        <v>181.49709206</v>
      </c>
      <c r="V21" s="5">
        <f>ASM_Annual_Elec_1970on!AM23</f>
        <v>175.71835826</v>
      </c>
      <c r="W21" s="5">
        <f>ASM_Annual_Elec_1970on!AN23</f>
        <v>181.08791137200001</v>
      </c>
      <c r="X21" s="5">
        <f>ASM_Annual_Elec_1970on!AO23</f>
        <v>186.38836807199999</v>
      </c>
      <c r="Y21" s="5">
        <f>ASM_Annual_Elec_1970on!AP23</f>
        <v>189.42251977999999</v>
      </c>
      <c r="Z21" s="5">
        <f>ASM_Annual_Elec_1970on!AQ23</f>
        <v>181.823920716</v>
      </c>
      <c r="AA21" s="5">
        <f>ASM_Annual_Elec_1970on!AR23</f>
        <v>178.301098956</v>
      </c>
      <c r="AB21" s="5">
        <f>ASM_Annual_Elec_1970on!AS23</f>
        <v>192.51036271999999</v>
      </c>
      <c r="AC21" s="5">
        <f>ASM_Annual_Elec_1970on!AT23</f>
        <v>196.24766279999997</v>
      </c>
      <c r="AD21" s="5">
        <f>ASM_Annual_Elec_1970on!AU23</f>
        <v>189.979061336</v>
      </c>
      <c r="AE21" s="5">
        <f>ASM_Annual_Elec_1970on!AV23</f>
        <v>194.72188122799997</v>
      </c>
      <c r="AF21" s="5">
        <f>ASM_Annual_Elec_1970on!AW23</f>
        <v>189.70901518399998</v>
      </c>
      <c r="AG21" s="5">
        <f>ASM_Annual_Elec_1970on!AX23</f>
        <v>149.042844108</v>
      </c>
      <c r="AH21" s="5">
        <f>ASM_Annual_Elec_1970on!AY23</f>
        <v>176.70813510400001</v>
      </c>
      <c r="AI21" s="5">
        <f>ASM_Annual_Elec_1970on!AZ23</f>
        <v>197.729702532</v>
      </c>
      <c r="AJ21" s="5">
        <f>ASM_Annual_Elec_1970on!BA23</f>
        <v>195.46619537999999</v>
      </c>
      <c r="AK21" s="5">
        <f>ASM_Annual_Elec_1970on!BB23</f>
        <v>194.855908</v>
      </c>
      <c r="AL21" s="5">
        <f>ASM_Annual_Elec_1970on!BC23</f>
        <v>199.433143532</v>
      </c>
      <c r="AM21" s="5">
        <f>ASM_Annual_Elec_1970on!BD23</f>
        <v>208.29709303199999</v>
      </c>
      <c r="AN21" s="5">
        <f>ASM_Annual_Elec_1970on!BE23</f>
        <v>214.03997353599999</v>
      </c>
      <c r="AO21" s="5">
        <f>ASM_Annual_Elec_1970on!BF23</f>
        <v>199.60534375999998</v>
      </c>
      <c r="AP21" s="5"/>
    </row>
    <row r="22" spans="6:81" x14ac:dyDescent="0.2">
      <c r="F22" t="s">
        <v>118</v>
      </c>
      <c r="G22" s="7">
        <f>'ASM2'!AG39</f>
        <v>15.2693824</v>
      </c>
      <c r="H22" s="7">
        <f>'ASM2'!AH39</f>
        <v>15.963042</v>
      </c>
      <c r="I22" s="7">
        <f>'ASM2'!AI39</f>
        <v>19.492073600000001</v>
      </c>
      <c r="J22" s="7">
        <f>'ASM2'!AJ39</f>
        <v>22.093041200000002</v>
      </c>
      <c r="L22" s="5">
        <f>ASM_Annual_Elec_1970on!AC24</f>
        <v>22.199010092285135</v>
      </c>
      <c r="M22" s="5">
        <f>ASM_Annual_Elec_1970on!AD24</f>
        <v>23.355205032498805</v>
      </c>
      <c r="N22" s="5">
        <f>ASM_Annual_Elec_1970on!AE24</f>
        <v>22.280034512346635</v>
      </c>
      <c r="O22" s="5">
        <f>ASM_Annual_Elec_1970on!AF24</f>
        <v>21.53568569070282</v>
      </c>
      <c r="P22" s="5">
        <f>ASM_Annual_Elec_1970on!AG24</f>
        <v>22.237673197293738</v>
      </c>
      <c r="Q22" s="5">
        <f>ASM_Annual_Elec_1970on!AH24</f>
        <v>24.134854950020038</v>
      </c>
      <c r="R22" s="5">
        <f>ASM_Annual_Elec_1970on!AI24</f>
        <v>24.760861050246227</v>
      </c>
      <c r="S22" s="5">
        <f>ASM_Annual_Elec_1970on!AJ24</f>
        <v>25.688439369539484</v>
      </c>
      <c r="T22" s="5">
        <f>ASM_Annual_Elec_1970on!AK24</f>
        <v>25.845108995052591</v>
      </c>
      <c r="U22" s="5">
        <f>ASM_Annual_Elec_1970on!AL24</f>
        <v>28.695360147999999</v>
      </c>
      <c r="V22" s="5">
        <f>ASM_Annual_Elec_1970on!AM24</f>
        <v>28.813957855999998</v>
      </c>
      <c r="W22" s="5">
        <f>ASM_Annual_Elec_1970on!AN24</f>
        <v>28.427545444</v>
      </c>
      <c r="X22" s="5">
        <f>ASM_Annual_Elec_1970on!AO24</f>
        <v>29.604579672</v>
      </c>
      <c r="Y22" s="5">
        <f>ASM_Annual_Elec_1970on!AP24</f>
        <v>27.776730327999999</v>
      </c>
      <c r="Z22" s="5">
        <f>ASM_Annual_Elec_1970on!AQ24</f>
        <v>27.030744296000002</v>
      </c>
      <c r="AA22" s="5">
        <f>ASM_Annual_Elec_1970on!AR24</f>
        <v>27.583007204000001</v>
      </c>
      <c r="AB22" s="5">
        <f>ASM_Annual_Elec_1970on!AS24</f>
        <v>33.419383331999995</v>
      </c>
      <c r="AC22" s="5">
        <f>ASM_Annual_Elec_1970on!AT24</f>
        <v>33.400091883999998</v>
      </c>
      <c r="AD22" s="5">
        <f>ASM_Annual_Elec_1970on!AU24</f>
        <v>32.803670871999998</v>
      </c>
      <c r="AE22" s="5">
        <f>ASM_Annual_Elec_1970on!AV24</f>
        <v>29.471651563999998</v>
      </c>
      <c r="AF22" s="5">
        <f>ASM_Annual_Elec_1970on!AW24</f>
        <v>27.580656336000001</v>
      </c>
      <c r="AG22" s="5">
        <f>ASM_Annual_Elec_1970on!AX24</f>
        <v>20.005828676</v>
      </c>
      <c r="AH22" s="5">
        <f>ASM_Annual_Elec_1970on!AY24</f>
        <v>19.100546599999998</v>
      </c>
      <c r="AI22" s="5">
        <f>ASM_Annual_Elec_1970on!AZ24</f>
        <v>18.576064195999997</v>
      </c>
      <c r="AJ22" s="5">
        <f>ASM_Annual_Elec_1970on!BA24</f>
        <v>17.142860419999998</v>
      </c>
      <c r="AK22" s="5">
        <f>ASM_Annual_Elec_1970on!BB24</f>
        <v>17.870271524</v>
      </c>
      <c r="AL22" s="5">
        <f>ASM_Annual_Elec_1970on!BC24</f>
        <v>17.811506647999998</v>
      </c>
      <c r="AM22" s="5">
        <f>ASM_Annual_Elec_1970on!BD24</f>
        <v>18.329444836</v>
      </c>
      <c r="AN22" s="5">
        <f>ASM_Annual_Elec_1970on!BE24</f>
        <v>18.839074804000003</v>
      </c>
      <c r="AO22" s="5">
        <f>ASM_Annual_Elec_1970on!BF24</f>
        <v>17.329742484000001</v>
      </c>
      <c r="AP22" s="5"/>
    </row>
    <row r="23" spans="6:81" x14ac:dyDescent="0.2">
      <c r="F23" t="s">
        <v>119</v>
      </c>
      <c r="G23" s="7">
        <f>'ASM2'!AG40</f>
        <v>11.8935496</v>
      </c>
      <c r="H23" s="7">
        <f>'ASM2'!AH40</f>
        <v>12.127954000000001</v>
      </c>
      <c r="I23" s="7">
        <f>'ASM2'!AI40</f>
        <v>15.821102799999998</v>
      </c>
      <c r="J23" s="7">
        <f>'ASM2'!AJ40</f>
        <v>16.3509864</v>
      </c>
      <c r="L23" s="5">
        <f>ASM_Annual_Elec_1970on!AC25</f>
        <v>26.64857301611816</v>
      </c>
      <c r="M23" s="5">
        <f>ASM_Annual_Elec_1970on!AD25</f>
        <v>27.664804893891468</v>
      </c>
      <c r="N23" s="5">
        <f>ASM_Annual_Elec_1970on!AE25</f>
        <v>29.85303894726405</v>
      </c>
      <c r="O23" s="5">
        <f>ASM_Annual_Elec_1970on!AF25</f>
        <v>28.863897556069173</v>
      </c>
      <c r="P23" s="5">
        <f>ASM_Annual_Elec_1970on!AG25</f>
        <v>27.325157918414416</v>
      </c>
      <c r="Q23" s="5">
        <f>ASM_Annual_Elec_1970on!AH25</f>
        <v>30.172706688889512</v>
      </c>
      <c r="R23" s="5">
        <f>ASM_Annual_Elec_1970on!AI25</f>
        <v>30.71790273128039</v>
      </c>
      <c r="S23" s="5">
        <f>ASM_Annual_Elec_1970on!AJ25</f>
        <v>32.973185738934589</v>
      </c>
      <c r="T23" s="5">
        <f>ASM_Annual_Elec_1970on!AK25</f>
        <v>33.488920877171424</v>
      </c>
      <c r="U23" s="5">
        <f>ASM_Annual_Elec_1970on!AL25</f>
        <v>34.532872472000001</v>
      </c>
      <c r="V23" s="5">
        <f>ASM_Annual_Elec_1970on!AM25</f>
        <v>35.481852031999999</v>
      </c>
      <c r="W23" s="5">
        <f>ASM_Annual_Elec_1970on!AN25</f>
        <v>35.006884571999997</v>
      </c>
      <c r="X23" s="5">
        <f>ASM_Annual_Elec_1970on!AO25</f>
        <v>36.657630644000001</v>
      </c>
      <c r="Y23" s="5">
        <f>ASM_Annual_Elec_1970on!AP25</f>
        <v>37.375102591999998</v>
      </c>
      <c r="Z23" s="5">
        <f>ASM_Annual_Elec_1970on!AQ25</f>
        <v>35.271246332000004</v>
      </c>
      <c r="AA23" s="5">
        <f>ASM_Annual_Elec_1970on!AR25</f>
        <v>36.568011052000003</v>
      </c>
      <c r="AB23" s="5">
        <f>ASM_Annual_Elec_1970on!AS25</f>
        <v>43.772309159999999</v>
      </c>
      <c r="AC23" s="5">
        <f>ASM_Annual_Elec_1970on!AT25</f>
        <v>44.576063763999997</v>
      </c>
      <c r="AD23" s="5">
        <f>ASM_Annual_Elec_1970on!AU25</f>
        <v>43.850928463999999</v>
      </c>
      <c r="AE23" s="5">
        <f>ASM_Annual_Elec_1970on!AV25</f>
        <v>40.031696027999999</v>
      </c>
      <c r="AF23" s="5">
        <f>ASM_Annual_Elec_1970on!AW25</f>
        <v>39.769118744000004</v>
      </c>
      <c r="AG23" s="5">
        <f>ASM_Annual_Elec_1970on!AX25</f>
        <v>34.883922916000003</v>
      </c>
      <c r="AH23" s="5">
        <f>ASM_Annual_Elec_1970on!AY25</f>
        <v>35.953311956</v>
      </c>
      <c r="AI23" s="5">
        <f>ASM_Annual_Elec_1970on!AZ25</f>
        <v>36.712505839999999</v>
      </c>
      <c r="AJ23" s="5">
        <f>ASM_Annual_Elec_1970on!BA25</f>
        <v>31.878974516</v>
      </c>
      <c r="AK23" s="5">
        <f>ASM_Annual_Elec_1970on!BB25</f>
        <v>33.50428754</v>
      </c>
      <c r="AL23" s="5">
        <f>ASM_Annual_Elec_1970on!BC25</f>
        <v>32.096567991999997</v>
      </c>
      <c r="AM23" s="5">
        <f>ASM_Annual_Elec_1970on!BD25</f>
        <v>33.531549419999997</v>
      </c>
      <c r="AN23" s="5">
        <f>ASM_Annual_Elec_1970on!BE25</f>
        <v>33.142451764</v>
      </c>
      <c r="AO23" s="5">
        <f>ASM_Annual_Elec_1970on!BF25</f>
        <v>28.245211575999999</v>
      </c>
      <c r="AP23" s="5"/>
    </row>
    <row r="24" spans="6:81" x14ac:dyDescent="0.2">
      <c r="O24">
        <v>4</v>
      </c>
      <c r="P24">
        <v>5</v>
      </c>
      <c r="Q24">
        <v>6</v>
      </c>
      <c r="R24">
        <v>7</v>
      </c>
      <c r="CC24" t="s">
        <v>91</v>
      </c>
    </row>
    <row r="25" spans="6:81" x14ac:dyDescent="0.2">
      <c r="F25" s="37" t="s">
        <v>104</v>
      </c>
    </row>
    <row r="26" spans="6:81" x14ac:dyDescent="0.2">
      <c r="F26" t="s">
        <v>100</v>
      </c>
      <c r="AK26" s="52" t="s">
        <v>453</v>
      </c>
    </row>
    <row r="27" spans="6:81" x14ac:dyDescent="0.2">
      <c r="G27">
        <v>1985</v>
      </c>
      <c r="H27">
        <v>1986</v>
      </c>
      <c r="I27">
        <v>1987</v>
      </c>
      <c r="J27">
        <v>1988</v>
      </c>
      <c r="K27">
        <v>1989</v>
      </c>
      <c r="L27">
        <v>1990</v>
      </c>
      <c r="M27">
        <v>1991</v>
      </c>
      <c r="N27">
        <v>1992</v>
      </c>
      <c r="O27">
        <v>1993</v>
      </c>
      <c r="P27">
        <v>1994</v>
      </c>
      <c r="Q27">
        <v>1995</v>
      </c>
      <c r="R27">
        <f t="shared" ref="R27:AD27" si="1">Q27+1</f>
        <v>1996</v>
      </c>
      <c r="S27">
        <f t="shared" si="1"/>
        <v>1997</v>
      </c>
      <c r="T27">
        <f t="shared" si="1"/>
        <v>1998</v>
      </c>
      <c r="U27">
        <f t="shared" si="1"/>
        <v>1999</v>
      </c>
      <c r="V27">
        <f t="shared" si="1"/>
        <v>2000</v>
      </c>
      <c r="W27">
        <f>V27+1</f>
        <v>2001</v>
      </c>
      <c r="X27">
        <f>W27+1</f>
        <v>2002</v>
      </c>
      <c r="Y27">
        <f t="shared" si="1"/>
        <v>2003</v>
      </c>
      <c r="Z27">
        <f t="shared" si="1"/>
        <v>2004</v>
      </c>
      <c r="AA27">
        <f t="shared" si="1"/>
        <v>2005</v>
      </c>
      <c r="AB27">
        <f t="shared" si="1"/>
        <v>2006</v>
      </c>
      <c r="AC27">
        <f t="shared" si="1"/>
        <v>2007</v>
      </c>
      <c r="AD27">
        <f t="shared" si="1"/>
        <v>2008</v>
      </c>
      <c r="AE27">
        <f>AD27+1</f>
        <v>2009</v>
      </c>
      <c r="AF27">
        <f>AE27+1</f>
        <v>2010</v>
      </c>
      <c r="AG27">
        <v>2011</v>
      </c>
      <c r="AH27">
        <v>2012</v>
      </c>
      <c r="AI27">
        <v>2013</v>
      </c>
      <c r="AJ27">
        <v>2014</v>
      </c>
      <c r="AK27">
        <v>2015</v>
      </c>
      <c r="AL27">
        <v>2016</v>
      </c>
      <c r="AM27">
        <v>2017</v>
      </c>
    </row>
    <row r="28" spans="6:81" x14ac:dyDescent="0.2">
      <c r="F28" t="str">
        <f t="shared" ref="F28:F45" si="2">F6</f>
        <v>311-312</v>
      </c>
      <c r="G28">
        <f>1</f>
        <v>1</v>
      </c>
      <c r="H28" s="37">
        <f>H6/(0.67*G6+0.33*J6)</f>
        <v>0.97502060293035886</v>
      </c>
      <c r="I28" s="37">
        <f>I6/(0.33*G6+0.67*J6)</f>
        <v>1.012711904630085</v>
      </c>
      <c r="J28">
        <v>1</v>
      </c>
      <c r="K28">
        <f t="shared" ref="K28:K45" si="3">M6/(0.33*L6+0.67*M6)</f>
        <v>1.0025888376187537</v>
      </c>
      <c r="L28">
        <f t="shared" ref="L28:L45" si="4">N6/(0.67*L6+0.33*O6)</f>
        <v>1.0009493674069752</v>
      </c>
      <c r="M28">
        <v>1</v>
      </c>
      <c r="N28">
        <f>P6/(0.33*O6+0.67*P6)</f>
        <v>1.0124617530571753</v>
      </c>
      <c r="O28">
        <f>Q6/(0.67*O6+0.33*R6)</f>
        <v>1.0395994084574867</v>
      </c>
      <c r="P28">
        <v>1</v>
      </c>
      <c r="Q28">
        <f t="shared" ref="Q28:Q45" si="5">S6/(0.75*R6+0.25*V6)</f>
        <v>1.0054237502051104</v>
      </c>
      <c r="R28">
        <f t="shared" ref="R28:R45" si="6">T6/(0.5*R6+0.5*V6)</f>
        <v>1.0084647022323621</v>
      </c>
      <c r="S28">
        <f t="shared" ref="S28:S45" si="7">U6/(0.25*R6+0.75*V6)</f>
        <v>1.0143221287099711</v>
      </c>
      <c r="T28">
        <v>1</v>
      </c>
      <c r="U28">
        <f t="shared" ref="U28:U33" si="8">W6/(0.75*V6+0.25*Z6)</f>
        <v>0.96396366510408638</v>
      </c>
      <c r="V28">
        <f t="shared" ref="V28:V33" si="9">X6/(0.5*V6+0.5*Z6)</f>
        <v>1.002973922516285</v>
      </c>
      <c r="W28">
        <f t="shared" ref="W28:W45" si="10">Y6/(0.25*V6+0.75*Z6)</f>
        <v>1.0544683993835884</v>
      </c>
      <c r="X28">
        <v>1</v>
      </c>
      <c r="Y28">
        <f t="shared" ref="Y28:Y45" si="11">AA6/(0.75*Z6+0.25*AD6)</f>
        <v>0.9500925496951087</v>
      </c>
      <c r="Z28">
        <f t="shared" ref="Z28:Z45" si="12">AB6/(0.5*Z6+0.5*AD6)</f>
        <v>1.0264473149479094</v>
      </c>
      <c r="AA28">
        <f t="shared" ref="AA28:AA45" si="13">AC6/(0.25*Z6+0.75*AD6)</f>
        <v>1.0346904341943279</v>
      </c>
      <c r="AB28">
        <v>1</v>
      </c>
      <c r="AC28">
        <f t="shared" ref="AC28:AC45" si="14">AE6/(0.75*AD6+0.25*AH6)</f>
        <v>1.0030685548841842</v>
      </c>
      <c r="AD28">
        <f t="shared" ref="AD28:AD45" si="15">AF6/(0.5*AD6+0.5*AH6)</f>
        <v>1.0746199418324698</v>
      </c>
      <c r="AE28">
        <f t="shared" ref="AE28:AE45" si="16">AG6/(0.25*AD6+0.75*AH6)</f>
        <v>0.99227182428676963</v>
      </c>
      <c r="AF28">
        <v>1</v>
      </c>
      <c r="AG28">
        <f t="shared" ref="AG28:AG45" si="17">AI6/(0.75*AH6+0.25*AL6)</f>
        <v>1.0845972602476615</v>
      </c>
      <c r="AH28">
        <f t="shared" ref="AH28:AH45" si="18">AJ6/(0.5*AH6+0.5*AL6)</f>
        <v>0.97622683654411924</v>
      </c>
      <c r="AI28">
        <f t="shared" ref="AI28:AI45" si="19">AK6/(0.25*AH6+0.75*AL6)</f>
        <v>0.9684707970933123</v>
      </c>
      <c r="AJ28">
        <v>1</v>
      </c>
      <c r="AK28">
        <f>AM6/$AL6</f>
        <v>0.95698697658141851</v>
      </c>
      <c r="AL28">
        <f t="shared" ref="AL28:AM28" si="20">AN6/$AL6</f>
        <v>0.97258670304508155</v>
      </c>
      <c r="AM28">
        <f t="shared" si="20"/>
        <v>0.96027268031397173</v>
      </c>
    </row>
    <row r="29" spans="6:81" x14ac:dyDescent="0.2">
      <c r="F29" t="str">
        <f t="shared" si="2"/>
        <v>313-314</v>
      </c>
      <c r="G29">
        <f>1</f>
        <v>1</v>
      </c>
      <c r="H29" s="37">
        <f t="shared" ref="H29:H45" si="21">H7/(0.67*G7+0.33*J7)</f>
        <v>0.97879948655358684</v>
      </c>
      <c r="I29" s="37">
        <f t="shared" ref="I29:I45" si="22">I7/(0.33*G7+0.67*J7)</f>
        <v>1.0453647479537378</v>
      </c>
      <c r="J29">
        <v>1</v>
      </c>
      <c r="K29">
        <f t="shared" si="3"/>
        <v>1.0055355905523877</v>
      </c>
      <c r="L29">
        <f t="shared" si="4"/>
        <v>0.98354992898345261</v>
      </c>
      <c r="M29">
        <v>1</v>
      </c>
      <c r="N29">
        <f>P7/(0.33*O7+0.67*P7)</f>
        <v>1.0176066281079148</v>
      </c>
      <c r="O29">
        <f>Q7/(0.67*O7+0.33*R7)</f>
        <v>1.0508087869883369</v>
      </c>
      <c r="P29">
        <v>1</v>
      </c>
      <c r="Q29">
        <f t="shared" si="5"/>
        <v>1.0134384900219269</v>
      </c>
      <c r="R29">
        <f t="shared" si="6"/>
        <v>0.99204516913556251</v>
      </c>
      <c r="S29">
        <f t="shared" si="7"/>
        <v>0.97984731682282589</v>
      </c>
      <c r="T29">
        <v>1</v>
      </c>
      <c r="U29">
        <f t="shared" si="8"/>
        <v>1.0354168832936232</v>
      </c>
      <c r="V29">
        <f t="shared" si="9"/>
        <v>1.0163140457949602</v>
      </c>
      <c r="W29">
        <f t="shared" si="10"/>
        <v>1.007392139025721</v>
      </c>
      <c r="X29">
        <v>1</v>
      </c>
      <c r="Y29">
        <f t="shared" si="11"/>
        <v>1.0280254069246229</v>
      </c>
      <c r="Z29">
        <f t="shared" si="12"/>
        <v>1.0746038710240944</v>
      </c>
      <c r="AA29">
        <f t="shared" si="13"/>
        <v>1.1044760120291375</v>
      </c>
      <c r="AB29">
        <v>1</v>
      </c>
      <c r="AC29">
        <f t="shared" si="14"/>
        <v>0.94390617567441304</v>
      </c>
      <c r="AD29">
        <f t="shared" si="15"/>
        <v>0.96306778583788544</v>
      </c>
      <c r="AE29">
        <f t="shared" si="16"/>
        <v>0.85577166253521231</v>
      </c>
      <c r="AF29">
        <v>1</v>
      </c>
      <c r="AG29">
        <f t="shared" si="17"/>
        <v>1.046130772743473</v>
      </c>
      <c r="AH29">
        <f t="shared" si="18"/>
        <v>0.96299500317626296</v>
      </c>
      <c r="AI29">
        <f t="shared" si="19"/>
        <v>0.98682758310943042</v>
      </c>
      <c r="AJ29">
        <v>1</v>
      </c>
      <c r="AK29">
        <f t="shared" ref="AK29:AK45" si="23">AM7/$AL7</f>
        <v>0.9346867781442485</v>
      </c>
      <c r="AL29">
        <f t="shared" ref="AL29:AL45" si="24">AN7/$AL7</f>
        <v>0.88500801211349378</v>
      </c>
      <c r="AM29">
        <f t="shared" ref="AM29:AM45" si="25">AO7/$AL7</f>
        <v>0.82740360522386958</v>
      </c>
    </row>
    <row r="30" spans="6:81" x14ac:dyDescent="0.2">
      <c r="F30" t="str">
        <f t="shared" si="2"/>
        <v>315-316</v>
      </c>
      <c r="G30">
        <f>1</f>
        <v>1</v>
      </c>
      <c r="H30" s="37">
        <f t="shared" si="21"/>
        <v>0.99147348364023091</v>
      </c>
      <c r="I30" s="37">
        <f t="shared" si="22"/>
        <v>0.98658940468897138</v>
      </c>
      <c r="J30">
        <v>1</v>
      </c>
      <c r="K30">
        <f t="shared" si="3"/>
        <v>0.95786117817455851</v>
      </c>
      <c r="L30">
        <f t="shared" si="4"/>
        <v>0.91843007147910383</v>
      </c>
      <c r="M30">
        <v>1</v>
      </c>
      <c r="N30" s="3">
        <v>1</v>
      </c>
      <c r="O30" s="3">
        <v>1</v>
      </c>
      <c r="P30">
        <v>1</v>
      </c>
      <c r="Q30">
        <f t="shared" si="5"/>
        <v>1.1015533666747088</v>
      </c>
      <c r="R30">
        <f t="shared" si="6"/>
        <v>1.1129769742043303</v>
      </c>
      <c r="S30">
        <f t="shared" si="7"/>
        <v>0.98555370894852989</v>
      </c>
      <c r="T30">
        <v>1</v>
      </c>
      <c r="U30">
        <f t="shared" si="8"/>
        <v>1.0936147621857495</v>
      </c>
      <c r="V30">
        <f t="shared" si="9"/>
        <v>1.3327443358208462</v>
      </c>
      <c r="W30">
        <f t="shared" si="10"/>
        <v>1.4843594554115946</v>
      </c>
      <c r="X30">
        <v>1</v>
      </c>
      <c r="Y30">
        <f t="shared" si="11"/>
        <v>0.9537302757192796</v>
      </c>
      <c r="Z30">
        <f t="shared" si="12"/>
        <v>1.1587825641065688</v>
      </c>
      <c r="AA30">
        <f t="shared" si="13"/>
        <v>1.1363185726958733</v>
      </c>
      <c r="AB30">
        <v>1</v>
      </c>
      <c r="AC30">
        <f t="shared" si="14"/>
        <v>0.80098202546556063</v>
      </c>
      <c r="AD30">
        <f t="shared" si="15"/>
        <v>0.74959602443245765</v>
      </c>
      <c r="AE30">
        <f t="shared" si="16"/>
        <v>0.70083556713247086</v>
      </c>
      <c r="AF30">
        <v>1</v>
      </c>
      <c r="AG30">
        <f t="shared" si="17"/>
        <v>1.029003355853104</v>
      </c>
      <c r="AH30">
        <f t="shared" si="18"/>
        <v>0.84517508423060228</v>
      </c>
      <c r="AI30">
        <f t="shared" si="19"/>
        <v>0.92742482608419674</v>
      </c>
      <c r="AJ30">
        <v>1</v>
      </c>
      <c r="AK30">
        <f t="shared" si="23"/>
        <v>0.9523402571779831</v>
      </c>
      <c r="AL30">
        <f t="shared" si="24"/>
        <v>0.91189732315217831</v>
      </c>
      <c r="AM30">
        <f t="shared" si="25"/>
        <v>0.83475173674525216</v>
      </c>
    </row>
    <row r="31" spans="6:81" x14ac:dyDescent="0.2">
      <c r="F31" t="str">
        <f t="shared" si="2"/>
        <v>321</v>
      </c>
      <c r="G31">
        <f>1</f>
        <v>1</v>
      </c>
      <c r="H31" s="37">
        <f t="shared" si="21"/>
        <v>0.96777714511191515</v>
      </c>
      <c r="I31" s="37">
        <f t="shared" si="22"/>
        <v>1.0389613768872801</v>
      </c>
      <c r="J31">
        <v>1</v>
      </c>
      <c r="K31">
        <f t="shared" si="3"/>
        <v>0.99328370590418991</v>
      </c>
      <c r="L31">
        <f t="shared" si="4"/>
        <v>0.99491109806944755</v>
      </c>
      <c r="M31">
        <v>1</v>
      </c>
      <c r="N31">
        <f t="shared" ref="N31:N45" si="26">P9/(0.33*O9+0.67*P9)</f>
        <v>0.98447355191613484</v>
      </c>
      <c r="O31">
        <f t="shared" ref="O31:O45" si="27">Q9/(0.67*O9+0.33*R9)</f>
        <v>1.0153183513340607</v>
      </c>
      <c r="P31">
        <v>1</v>
      </c>
      <c r="Q31">
        <f t="shared" si="5"/>
        <v>1.000197943242537</v>
      </c>
      <c r="R31">
        <f t="shared" si="6"/>
        <v>0.98538643869710274</v>
      </c>
      <c r="S31">
        <f t="shared" si="7"/>
        <v>1.0047724263602886</v>
      </c>
      <c r="T31">
        <v>1</v>
      </c>
      <c r="U31">
        <f t="shared" si="8"/>
        <v>1.0485707132295137</v>
      </c>
      <c r="V31">
        <f t="shared" si="9"/>
        <v>1.0521003938439994</v>
      </c>
      <c r="W31">
        <f t="shared" si="10"/>
        <v>0.99434289320455349</v>
      </c>
      <c r="X31">
        <v>1</v>
      </c>
      <c r="Y31">
        <f t="shared" si="11"/>
        <v>0.97612052117024761</v>
      </c>
      <c r="Z31">
        <f t="shared" si="12"/>
        <v>1.0542270293355831</v>
      </c>
      <c r="AA31">
        <f t="shared" si="13"/>
        <v>1.048633666553932</v>
      </c>
      <c r="AB31">
        <v>1</v>
      </c>
      <c r="AC31">
        <f t="shared" si="14"/>
        <v>0.95486638741904972</v>
      </c>
      <c r="AD31">
        <f t="shared" si="15"/>
        <v>0.95643489702483375</v>
      </c>
      <c r="AE31">
        <f t="shared" si="16"/>
        <v>0.84798819173245665</v>
      </c>
      <c r="AF31">
        <v>1</v>
      </c>
      <c r="AG31">
        <f t="shared" si="17"/>
        <v>1.0022720217163374</v>
      </c>
      <c r="AH31">
        <f t="shared" si="18"/>
        <v>0.94805760290094587</v>
      </c>
      <c r="AI31">
        <f t="shared" si="19"/>
        <v>0.99726715438587454</v>
      </c>
      <c r="AJ31">
        <v>1</v>
      </c>
      <c r="AK31">
        <f t="shared" si="23"/>
        <v>1.0391055860183607</v>
      </c>
      <c r="AL31">
        <f t="shared" si="24"/>
        <v>1.0241655853174534</v>
      </c>
      <c r="AM31">
        <f t="shared" si="25"/>
        <v>0.96029544412699785</v>
      </c>
    </row>
    <row r="32" spans="6:81" x14ac:dyDescent="0.2">
      <c r="F32" t="str">
        <f t="shared" si="2"/>
        <v>322</v>
      </c>
      <c r="G32">
        <f>1</f>
        <v>1</v>
      </c>
      <c r="H32" s="37">
        <f t="shared" si="21"/>
        <v>1.0597851169563599</v>
      </c>
      <c r="I32" s="37">
        <f t="shared" si="22"/>
        <v>1.0279944067298994</v>
      </c>
      <c r="J32">
        <v>1</v>
      </c>
      <c r="K32">
        <f t="shared" si="3"/>
        <v>1.0099064180845534</v>
      </c>
      <c r="L32">
        <f t="shared" si="4"/>
        <v>1.054145561464793</v>
      </c>
      <c r="M32">
        <v>1</v>
      </c>
      <c r="N32">
        <f t="shared" si="26"/>
        <v>1.0046288997524231</v>
      </c>
      <c r="O32">
        <f t="shared" si="27"/>
        <v>1.0261526708492672</v>
      </c>
      <c r="P32">
        <v>1</v>
      </c>
      <c r="Q32">
        <f t="shared" si="5"/>
        <v>1.0158928722333622</v>
      </c>
      <c r="R32">
        <f t="shared" si="6"/>
        <v>0.99110348799560555</v>
      </c>
      <c r="S32">
        <f t="shared" si="7"/>
        <v>0.97589518558899846</v>
      </c>
      <c r="T32">
        <v>1</v>
      </c>
      <c r="U32">
        <f t="shared" si="8"/>
        <v>0.98054125830252392</v>
      </c>
      <c r="V32">
        <f t="shared" si="9"/>
        <v>1.0251891111777942</v>
      </c>
      <c r="W32">
        <f t="shared" si="10"/>
        <v>1.0098504685510337</v>
      </c>
      <c r="X32">
        <v>1</v>
      </c>
      <c r="Y32">
        <f t="shared" si="11"/>
        <v>1.0030554490284902</v>
      </c>
      <c r="Z32">
        <f t="shared" si="12"/>
        <v>1.0336358005401483</v>
      </c>
      <c r="AA32">
        <f t="shared" si="13"/>
        <v>1.0467358301452621</v>
      </c>
      <c r="AB32">
        <v>1</v>
      </c>
      <c r="AC32">
        <f t="shared" si="14"/>
        <v>1.0458448279156545</v>
      </c>
      <c r="AD32">
        <f t="shared" si="15"/>
        <v>0.97507586182901484</v>
      </c>
      <c r="AE32">
        <f t="shared" si="16"/>
        <v>0.9507069292775463</v>
      </c>
      <c r="AF32">
        <v>1</v>
      </c>
      <c r="AG32">
        <f t="shared" si="17"/>
        <v>1.0233056356992023</v>
      </c>
      <c r="AH32">
        <f t="shared" si="18"/>
        <v>1.0157391478354818</v>
      </c>
      <c r="AI32">
        <f t="shared" si="19"/>
        <v>0.97805616458337297</v>
      </c>
      <c r="AJ32">
        <v>1</v>
      </c>
      <c r="AK32">
        <f t="shared" si="23"/>
        <v>1.0234664438001571</v>
      </c>
      <c r="AL32">
        <f t="shared" si="24"/>
        <v>1.0153629483682705</v>
      </c>
      <c r="AM32">
        <f t="shared" si="25"/>
        <v>0.94766863108214561</v>
      </c>
    </row>
    <row r="33" spans="6:147" x14ac:dyDescent="0.2">
      <c r="F33" t="str">
        <f t="shared" si="2"/>
        <v>323</v>
      </c>
      <c r="G33">
        <f>1</f>
        <v>1</v>
      </c>
      <c r="H33" s="37">
        <f t="shared" si="21"/>
        <v>0.95359068718002937</v>
      </c>
      <c r="I33" s="37">
        <f t="shared" si="22"/>
        <v>0.97762944020152875</v>
      </c>
      <c r="J33">
        <v>1</v>
      </c>
      <c r="K33">
        <f t="shared" si="3"/>
        <v>0.99703431414490817</v>
      </c>
      <c r="L33">
        <f t="shared" si="4"/>
        <v>1.0266070479141449</v>
      </c>
      <c r="M33">
        <v>1</v>
      </c>
      <c r="N33">
        <f t="shared" si="26"/>
        <v>1.004083264983066</v>
      </c>
      <c r="O33">
        <f t="shared" si="27"/>
        <v>1.0404718762022656</v>
      </c>
      <c r="P33">
        <v>1</v>
      </c>
      <c r="Q33">
        <f t="shared" si="5"/>
        <v>1.0093545532073553</v>
      </c>
      <c r="R33">
        <f t="shared" si="6"/>
        <v>0.99788502972335114</v>
      </c>
      <c r="S33">
        <f t="shared" si="7"/>
        <v>0.99324672192239671</v>
      </c>
      <c r="T33">
        <v>1</v>
      </c>
      <c r="U33">
        <f t="shared" si="8"/>
        <v>1.0008112903952677</v>
      </c>
      <c r="V33">
        <f t="shared" si="9"/>
        <v>1.0522719175448629</v>
      </c>
      <c r="W33">
        <f t="shared" si="10"/>
        <v>1.0355499768462908</v>
      </c>
      <c r="X33">
        <v>1</v>
      </c>
      <c r="Y33">
        <f t="shared" si="11"/>
        <v>0.97529609550712526</v>
      </c>
      <c r="Z33">
        <f t="shared" si="12"/>
        <v>1.0825554541641633</v>
      </c>
      <c r="AA33">
        <f t="shared" si="13"/>
        <v>1.0601923515950671</v>
      </c>
      <c r="AB33">
        <v>1</v>
      </c>
      <c r="AC33">
        <f t="shared" si="14"/>
        <v>1.0101678780773107</v>
      </c>
      <c r="AD33">
        <f t="shared" si="15"/>
        <v>1.0902982670287189</v>
      </c>
      <c r="AE33">
        <f t="shared" si="16"/>
        <v>0.96508950195008947</v>
      </c>
      <c r="AF33">
        <v>1</v>
      </c>
      <c r="AG33">
        <f t="shared" si="17"/>
        <v>1.0064756796345455</v>
      </c>
      <c r="AH33">
        <f t="shared" si="18"/>
        <v>0.97492635654365178</v>
      </c>
      <c r="AI33">
        <f t="shared" si="19"/>
        <v>0.99312290423486838</v>
      </c>
      <c r="AJ33">
        <v>1</v>
      </c>
      <c r="AK33">
        <f t="shared" si="23"/>
        <v>0.98022320822076847</v>
      </c>
      <c r="AL33">
        <f t="shared" si="24"/>
        <v>0.96934016405362011</v>
      </c>
      <c r="AM33">
        <f t="shared" si="25"/>
        <v>0.81040233335577661</v>
      </c>
      <c r="CA33" s="46" t="s">
        <v>159</v>
      </c>
      <c r="DL33" t="s">
        <v>157</v>
      </c>
    </row>
    <row r="34" spans="6:147" x14ac:dyDescent="0.2">
      <c r="F34" t="str">
        <f t="shared" si="2"/>
        <v>324</v>
      </c>
      <c r="G34">
        <f>1</f>
        <v>1</v>
      </c>
      <c r="H34" s="37">
        <f t="shared" si="21"/>
        <v>1.0618615039246331</v>
      </c>
      <c r="I34" s="37">
        <f t="shared" si="22"/>
        <v>0.96492232770223008</v>
      </c>
      <c r="J34">
        <v>1</v>
      </c>
      <c r="K34">
        <f t="shared" si="3"/>
        <v>0.99706204710723201</v>
      </c>
      <c r="L34">
        <f t="shared" si="4"/>
        <v>1.0181489923943547</v>
      </c>
      <c r="M34">
        <v>1</v>
      </c>
      <c r="N34">
        <f t="shared" si="26"/>
        <v>1.0028083898182205</v>
      </c>
      <c r="O34">
        <f t="shared" si="27"/>
        <v>0.97124340186975022</v>
      </c>
      <c r="P34">
        <v>1</v>
      </c>
      <c r="Q34">
        <f t="shared" si="5"/>
        <v>1.026601104861703</v>
      </c>
      <c r="R34">
        <f t="shared" si="6"/>
        <v>1.0333877721192992</v>
      </c>
      <c r="S34">
        <f t="shared" si="7"/>
        <v>1.0168292319280312</v>
      </c>
      <c r="T34">
        <v>1</v>
      </c>
      <c r="U34" s="3">
        <v>1.05</v>
      </c>
      <c r="V34" s="3">
        <v>1.1000000000000001</v>
      </c>
      <c r="W34">
        <f t="shared" si="10"/>
        <v>1.0988837554720929</v>
      </c>
      <c r="X34">
        <v>1</v>
      </c>
      <c r="Y34">
        <f t="shared" si="11"/>
        <v>0.95687664572339526</v>
      </c>
      <c r="Z34">
        <f t="shared" si="12"/>
        <v>0.97179305370942737</v>
      </c>
      <c r="AA34">
        <f t="shared" si="13"/>
        <v>1.0490846320886464</v>
      </c>
      <c r="AB34">
        <v>1</v>
      </c>
      <c r="AC34">
        <f t="shared" si="14"/>
        <v>0.99989140874207472</v>
      </c>
      <c r="AD34">
        <f t="shared" si="15"/>
        <v>1.037063748392322</v>
      </c>
      <c r="AE34">
        <f t="shared" si="16"/>
        <v>0.9833344537335118</v>
      </c>
      <c r="AF34">
        <v>1</v>
      </c>
      <c r="AG34">
        <f t="shared" si="17"/>
        <v>1.0168495230432635</v>
      </c>
      <c r="AH34">
        <f t="shared" si="18"/>
        <v>1.0077282811505475</v>
      </c>
      <c r="AI34">
        <f t="shared" si="19"/>
        <v>0.98684730332540105</v>
      </c>
      <c r="AJ34">
        <v>1</v>
      </c>
      <c r="AK34">
        <f t="shared" si="23"/>
        <v>0.99560294773476121</v>
      </c>
      <c r="AL34">
        <f t="shared" si="24"/>
        <v>0.98816507466340631</v>
      </c>
      <c r="AM34">
        <f t="shared" si="25"/>
        <v>1.0566310919966557</v>
      </c>
    </row>
    <row r="35" spans="6:147" x14ac:dyDescent="0.2">
      <c r="F35" t="str">
        <f t="shared" si="2"/>
        <v>325</v>
      </c>
      <c r="G35">
        <f>1</f>
        <v>1</v>
      </c>
      <c r="H35" s="37">
        <f t="shared" si="21"/>
        <v>0.94675074448710073</v>
      </c>
      <c r="I35" s="37">
        <f t="shared" si="22"/>
        <v>0.97867044371792744</v>
      </c>
      <c r="J35">
        <v>1</v>
      </c>
      <c r="K35">
        <f t="shared" si="3"/>
        <v>1.0187394196483277</v>
      </c>
      <c r="L35">
        <f t="shared" si="4"/>
        <v>1.075438342839721</v>
      </c>
      <c r="M35">
        <v>1</v>
      </c>
      <c r="N35">
        <f t="shared" si="26"/>
        <v>0.99907848792766496</v>
      </c>
      <c r="O35">
        <f t="shared" si="27"/>
        <v>0.99584269994807106</v>
      </c>
      <c r="P35">
        <v>1</v>
      </c>
      <c r="Q35">
        <f t="shared" si="5"/>
        <v>0.99287870840460657</v>
      </c>
      <c r="R35">
        <f t="shared" si="6"/>
        <v>1.0453864829588957</v>
      </c>
      <c r="S35">
        <f t="shared" si="7"/>
        <v>1.0253461531007133</v>
      </c>
      <c r="T35">
        <v>1</v>
      </c>
      <c r="U35">
        <f t="shared" ref="U35:U45" si="28">W13/(0.75*V13+0.25*Z13)</f>
        <v>1.0489642032196298</v>
      </c>
      <c r="V35">
        <f t="shared" ref="V35:V45" si="29">X13/(0.5*V13+0.5*Z13)</f>
        <v>1.0830291225473241</v>
      </c>
      <c r="W35">
        <f t="shared" si="10"/>
        <v>1.0165145731153244</v>
      </c>
      <c r="X35">
        <v>1</v>
      </c>
      <c r="Y35">
        <f t="shared" si="11"/>
        <v>1.0561955657307127</v>
      </c>
      <c r="Z35">
        <f t="shared" si="12"/>
        <v>1.0297160988547247</v>
      </c>
      <c r="AA35">
        <f t="shared" si="13"/>
        <v>0.99259875029330891</v>
      </c>
      <c r="AB35">
        <v>1</v>
      </c>
      <c r="AC35">
        <f t="shared" si="14"/>
        <v>1.0456122679481303</v>
      </c>
      <c r="AD35">
        <f t="shared" si="15"/>
        <v>1.0307431578079216</v>
      </c>
      <c r="AE35">
        <f t="shared" si="16"/>
        <v>0.91216092815924033</v>
      </c>
      <c r="AF35">
        <v>1</v>
      </c>
      <c r="AG35">
        <f t="shared" si="17"/>
        <v>1.033527189066866</v>
      </c>
      <c r="AH35">
        <f t="shared" si="18"/>
        <v>1.0475791190533379</v>
      </c>
      <c r="AI35">
        <f t="shared" si="19"/>
        <v>1.0208194097705572</v>
      </c>
      <c r="AJ35">
        <v>1</v>
      </c>
      <c r="AK35">
        <f t="shared" si="23"/>
        <v>0.99333963783240498</v>
      </c>
      <c r="AL35">
        <f t="shared" si="24"/>
        <v>0.94433552716570635</v>
      </c>
      <c r="AM35">
        <f t="shared" si="25"/>
        <v>0.96476028102853517</v>
      </c>
      <c r="BK35" s="101" t="s">
        <v>138</v>
      </c>
      <c r="BL35" s="101" t="s">
        <v>141</v>
      </c>
      <c r="BM35" s="101" t="s">
        <v>142</v>
      </c>
      <c r="BN35" s="101" t="s">
        <v>456</v>
      </c>
      <c r="CB35">
        <f t="shared" ref="CB35:CK36" si="30">G50</f>
        <v>1985</v>
      </c>
      <c r="CC35">
        <f t="shared" si="30"/>
        <v>1986</v>
      </c>
      <c r="CD35">
        <f t="shared" si="30"/>
        <v>1987</v>
      </c>
      <c r="CE35">
        <f t="shared" si="30"/>
        <v>1988</v>
      </c>
      <c r="CF35">
        <f t="shared" si="30"/>
        <v>1989</v>
      </c>
      <c r="CG35">
        <f t="shared" si="30"/>
        <v>1990</v>
      </c>
      <c r="CH35">
        <f t="shared" si="30"/>
        <v>1991</v>
      </c>
      <c r="CI35">
        <f t="shared" si="30"/>
        <v>1992</v>
      </c>
      <c r="CJ35">
        <f t="shared" si="30"/>
        <v>1993</v>
      </c>
      <c r="CK35">
        <f t="shared" si="30"/>
        <v>1994</v>
      </c>
      <c r="CL35">
        <f t="shared" ref="CL35:CU36" si="31">Q50</f>
        <v>1995</v>
      </c>
      <c r="CM35">
        <f t="shared" si="31"/>
        <v>1996</v>
      </c>
      <c r="CN35">
        <f t="shared" si="31"/>
        <v>1997</v>
      </c>
      <c r="CO35">
        <f t="shared" si="31"/>
        <v>1998</v>
      </c>
      <c r="CP35">
        <f t="shared" si="31"/>
        <v>1999</v>
      </c>
      <c r="CQ35">
        <f t="shared" si="31"/>
        <v>2000</v>
      </c>
      <c r="CR35">
        <f t="shared" si="31"/>
        <v>2001</v>
      </c>
      <c r="CS35">
        <f t="shared" si="31"/>
        <v>2002</v>
      </c>
      <c r="CT35">
        <f t="shared" si="31"/>
        <v>2003</v>
      </c>
      <c r="CU35">
        <f t="shared" si="31"/>
        <v>2004</v>
      </c>
      <c r="CV35">
        <f t="shared" ref="CV35:CY36" si="32">AA50</f>
        <v>2005</v>
      </c>
      <c r="CW35">
        <f t="shared" si="32"/>
        <v>2006</v>
      </c>
      <c r="CX35">
        <f t="shared" si="32"/>
        <v>2007</v>
      </c>
      <c r="CY35">
        <f t="shared" si="32"/>
        <v>2008</v>
      </c>
      <c r="CZ35">
        <v>2009</v>
      </c>
      <c r="DA35">
        <v>2010</v>
      </c>
      <c r="DB35">
        <v>2011</v>
      </c>
      <c r="DC35">
        <v>2012</v>
      </c>
      <c r="DD35">
        <v>2013</v>
      </c>
      <c r="DE35">
        <v>2014</v>
      </c>
      <c r="DF35">
        <v>2015</v>
      </c>
      <c r="DG35">
        <v>2016</v>
      </c>
      <c r="DH35">
        <v>2017</v>
      </c>
      <c r="DL35" t="s">
        <v>147</v>
      </c>
      <c r="DM35" t="s">
        <v>452</v>
      </c>
    </row>
    <row r="36" spans="6:147" x14ac:dyDescent="0.2">
      <c r="F36" t="str">
        <f t="shared" si="2"/>
        <v>326</v>
      </c>
      <c r="G36">
        <f>1</f>
        <v>1</v>
      </c>
      <c r="H36" s="37">
        <f t="shared" si="21"/>
        <v>0.98657328283433787</v>
      </c>
      <c r="I36" s="37">
        <f t="shared" si="22"/>
        <v>0.99527952280980292</v>
      </c>
      <c r="J36">
        <v>1</v>
      </c>
      <c r="K36">
        <f t="shared" si="3"/>
        <v>1.0074954611186864</v>
      </c>
      <c r="L36">
        <f t="shared" si="4"/>
        <v>1.0412089399337714</v>
      </c>
      <c r="M36">
        <v>1</v>
      </c>
      <c r="N36">
        <f t="shared" si="26"/>
        <v>1.0156089219430084</v>
      </c>
      <c r="O36">
        <f t="shared" si="27"/>
        <v>1.06971794193054</v>
      </c>
      <c r="P36">
        <v>1</v>
      </c>
      <c r="Q36">
        <f t="shared" si="5"/>
        <v>1.0067445001034203</v>
      </c>
      <c r="R36">
        <f t="shared" si="6"/>
        <v>1.0469571377962101</v>
      </c>
      <c r="S36">
        <f t="shared" si="7"/>
        <v>1.0303120360254012</v>
      </c>
      <c r="T36">
        <v>1</v>
      </c>
      <c r="U36">
        <f t="shared" si="28"/>
        <v>1.0371671060833532</v>
      </c>
      <c r="V36">
        <f t="shared" si="29"/>
        <v>1.0500873319541482</v>
      </c>
      <c r="W36">
        <f t="shared" si="10"/>
        <v>1.039403452586168</v>
      </c>
      <c r="X36">
        <v>1</v>
      </c>
      <c r="Y36">
        <f t="shared" si="11"/>
        <v>0.98072489545834418</v>
      </c>
      <c r="Z36">
        <f t="shared" si="12"/>
        <v>1.0707916751467341</v>
      </c>
      <c r="AA36">
        <f t="shared" si="13"/>
        <v>1.0581010914735118</v>
      </c>
      <c r="AB36">
        <v>1</v>
      </c>
      <c r="AC36">
        <f t="shared" si="14"/>
        <v>0.99807949562321363</v>
      </c>
      <c r="AD36">
        <f t="shared" si="15"/>
        <v>1.0203978755248482</v>
      </c>
      <c r="AE36">
        <f t="shared" si="16"/>
        <v>0.89235506964331823</v>
      </c>
      <c r="AF36">
        <v>1</v>
      </c>
      <c r="AG36">
        <f t="shared" si="17"/>
        <v>1.0139193570164053</v>
      </c>
      <c r="AH36">
        <f t="shared" si="18"/>
        <v>1.0190603131127585</v>
      </c>
      <c r="AI36">
        <f t="shared" si="19"/>
        <v>1.0148773349166098</v>
      </c>
      <c r="AJ36">
        <v>1</v>
      </c>
      <c r="AK36">
        <f t="shared" si="23"/>
        <v>1.0148182095411502</v>
      </c>
      <c r="AL36">
        <f t="shared" si="24"/>
        <v>1.0052168399688886</v>
      </c>
      <c r="AM36">
        <f t="shared" si="25"/>
        <v>0.94076897016836092</v>
      </c>
      <c r="BJ36">
        <v>1985</v>
      </c>
      <c r="BK36" s="15">
        <f t="array" ref="BK36:BK68">TRANSPOSE(G69:AM69)</f>
        <v>11405.381661116657</v>
      </c>
      <c r="BL36" s="15">
        <f>MECS_Annual_Fuel1!BJ36</f>
        <v>11405.381661116657</v>
      </c>
      <c r="BM36" s="15">
        <f>BN36*0.001</f>
        <v>17433.330000000002</v>
      </c>
      <c r="BN36" s="15">
        <f>DM36*1000</f>
        <v>17433330</v>
      </c>
      <c r="CA36" t="str">
        <f>F51</f>
        <v>311-312</v>
      </c>
      <c r="CB36" s="7">
        <f t="shared" si="30"/>
        <v>814.40918409036976</v>
      </c>
      <c r="CC36" s="7">
        <f t="shared" si="30"/>
        <v>805.87785924402021</v>
      </c>
      <c r="CD36" s="7">
        <f t="shared" si="30"/>
        <v>849.6711482156627</v>
      </c>
      <c r="CE36" s="7">
        <f t="shared" si="30"/>
        <v>851.12053122624513</v>
      </c>
      <c r="CF36" s="7">
        <f t="shared" si="30"/>
        <v>839.61122980424602</v>
      </c>
      <c r="CG36" s="7">
        <f t="shared" si="30"/>
        <v>824.13311855167171</v>
      </c>
      <c r="CH36" s="7">
        <f t="shared" si="30"/>
        <v>809.67414956814787</v>
      </c>
      <c r="CI36" s="7">
        <f t="shared" si="30"/>
        <v>886.22186855629877</v>
      </c>
      <c r="CJ36" s="7">
        <f t="shared" si="30"/>
        <v>980.28275595819161</v>
      </c>
      <c r="CK36" s="7">
        <f t="shared" si="30"/>
        <v>1008.5825527109854</v>
      </c>
      <c r="CL36" s="7">
        <f t="shared" si="31"/>
        <v>990.42888807712393</v>
      </c>
      <c r="CM36" s="7">
        <f t="shared" si="31"/>
        <v>969.7290711626971</v>
      </c>
      <c r="CN36" s="7">
        <f t="shared" si="31"/>
        <v>951.52846553880602</v>
      </c>
      <c r="CO36" s="7">
        <f t="shared" si="31"/>
        <v>914.596452</v>
      </c>
      <c r="CP36" s="7">
        <f t="shared" si="31"/>
        <v>893.43609159153425</v>
      </c>
      <c r="CQ36" s="7">
        <f t="shared" si="31"/>
        <v>941.86800307804378</v>
      </c>
      <c r="CR36" s="7">
        <f t="shared" si="31"/>
        <v>1003.1312605484319</v>
      </c>
      <c r="CS36" s="7">
        <f t="shared" si="31"/>
        <v>963.55408</v>
      </c>
      <c r="CT36" s="7">
        <f t="shared" si="31"/>
        <v>927.49494613448371</v>
      </c>
      <c r="CU36" s="7">
        <f t="shared" si="31"/>
        <v>1015.0297842600783</v>
      </c>
      <c r="CV36" s="7">
        <f t="shared" si="32"/>
        <v>1036.2817239313119</v>
      </c>
      <c r="CW36" s="7">
        <f t="shared" si="32"/>
        <v>1014.1992240000001</v>
      </c>
      <c r="CX36" s="7">
        <f t="shared" si="32"/>
        <v>1003.218431381518</v>
      </c>
      <c r="CY36" s="7">
        <f t="shared" si="32"/>
        <v>1059.6823076884609</v>
      </c>
      <c r="CZ36" s="7">
        <f t="shared" ref="CZ36:CZ54" si="33">AE51</f>
        <v>964.53763429722051</v>
      </c>
      <c r="DA36" s="7">
        <f>AF51</f>
        <v>958</v>
      </c>
      <c r="DB36" s="7">
        <f>AG51</f>
        <v>1031.1808451804641</v>
      </c>
      <c r="DC36" s="7">
        <f t="shared" ref="DC36:DE51" si="34">AH51</f>
        <v>921.07002027937654</v>
      </c>
      <c r="DD36" s="7">
        <f t="shared" si="34"/>
        <v>906.73078377861361</v>
      </c>
      <c r="DE36" s="7">
        <f t="shared" si="34"/>
        <v>929</v>
      </c>
      <c r="DF36" s="7">
        <f>AK51</f>
        <v>889.04090124413779</v>
      </c>
      <c r="DG36" s="7">
        <f>AL51</f>
        <v>903.53304712888075</v>
      </c>
      <c r="DH36" s="7">
        <f>AM51</f>
        <v>892.09332001167968</v>
      </c>
      <c r="DI36" s="7"/>
      <c r="DJ36" s="7"/>
      <c r="DK36">
        <v>1985</v>
      </c>
      <c r="DL36" s="44">
        <f t="array" ref="DL36:DL65">TRANSPOSE(CB98:DE98)</f>
        <v>11405.381661116657</v>
      </c>
      <c r="DM36" s="44">
        <f>MER_Nov19_Table2.4!E49</f>
        <v>17433.330000000002</v>
      </c>
    </row>
    <row r="37" spans="6:147" x14ac:dyDescent="0.2">
      <c r="F37" t="str">
        <f t="shared" si="2"/>
        <v>327</v>
      </c>
      <c r="G37">
        <f>1</f>
        <v>1</v>
      </c>
      <c r="H37" s="37">
        <f t="shared" si="21"/>
        <v>0.99793511951406055</v>
      </c>
      <c r="I37" s="37">
        <f t="shared" si="22"/>
        <v>1.0123058760691941</v>
      </c>
      <c r="J37">
        <v>1</v>
      </c>
      <c r="K37">
        <f t="shared" si="3"/>
        <v>0.99263676452997174</v>
      </c>
      <c r="L37">
        <f t="shared" si="4"/>
        <v>1.0051011659464411</v>
      </c>
      <c r="M37">
        <v>1</v>
      </c>
      <c r="N37">
        <f t="shared" si="26"/>
        <v>1.0083383451316075</v>
      </c>
      <c r="O37">
        <f t="shared" si="27"/>
        <v>1.0226520214692041</v>
      </c>
      <c r="P37">
        <v>1</v>
      </c>
      <c r="Q37">
        <f t="shared" si="5"/>
        <v>1.0074645625378331</v>
      </c>
      <c r="R37">
        <f t="shared" si="6"/>
        <v>1.013205539686215</v>
      </c>
      <c r="S37">
        <f t="shared" si="7"/>
        <v>0.99838867862825076</v>
      </c>
      <c r="T37">
        <v>1</v>
      </c>
      <c r="U37">
        <f t="shared" si="28"/>
        <v>1.0276670259137248</v>
      </c>
      <c r="V37">
        <f t="shared" si="29"/>
        <v>1.0365530706908468</v>
      </c>
      <c r="W37">
        <f t="shared" si="10"/>
        <v>1.0222542573485629</v>
      </c>
      <c r="X37">
        <v>1</v>
      </c>
      <c r="Y37">
        <f t="shared" si="11"/>
        <v>0.97161760924765572</v>
      </c>
      <c r="Z37">
        <f t="shared" si="12"/>
        <v>1.0237752716601278</v>
      </c>
      <c r="AA37">
        <f t="shared" si="13"/>
        <v>1.0344291599867308</v>
      </c>
      <c r="AB37">
        <v>1</v>
      </c>
      <c r="AC37">
        <f t="shared" si="14"/>
        <v>1.0577464158084857</v>
      </c>
      <c r="AD37">
        <f t="shared" si="15"/>
        <v>1.0678087263027318</v>
      </c>
      <c r="AE37">
        <f t="shared" si="16"/>
        <v>0.90336299614077897</v>
      </c>
      <c r="AF37">
        <v>1</v>
      </c>
      <c r="AG37">
        <f t="shared" si="17"/>
        <v>0.99863086348949404</v>
      </c>
      <c r="AH37">
        <f t="shared" si="18"/>
        <v>0.99272866202345666</v>
      </c>
      <c r="AI37">
        <f t="shared" si="19"/>
        <v>0.9842708640354082</v>
      </c>
      <c r="AJ37">
        <v>1</v>
      </c>
      <c r="AK37">
        <f t="shared" si="23"/>
        <v>1.0301272077134784</v>
      </c>
      <c r="AL37">
        <f t="shared" si="24"/>
        <v>1.0354582829084777</v>
      </c>
      <c r="AM37">
        <f t="shared" si="25"/>
        <v>1.0211180973897691</v>
      </c>
      <c r="BJ37">
        <f>BJ36+1</f>
        <v>1986</v>
      </c>
      <c r="BK37" s="15">
        <v>11848.14459054793</v>
      </c>
      <c r="BL37" s="15">
        <f>MECS_Annual_Fuel1!BJ37</f>
        <v>11398.401338339347</v>
      </c>
      <c r="BM37" s="15">
        <f t="shared" ref="BM37:BM61" si="35">BN37*0.001</f>
        <v>17081.349999999999</v>
      </c>
      <c r="BN37" s="15">
        <f t="shared" ref="BN37:BN68" si="36">DM37*1000</f>
        <v>17081350</v>
      </c>
      <c r="CA37" t="str">
        <f t="shared" ref="CA37:CA53" si="37">F52</f>
        <v>313-314</v>
      </c>
      <c r="CB37" s="7">
        <f t="shared" ref="CB37:CB54" si="38">G52</f>
        <v>156.1414043262503</v>
      </c>
      <c r="CC37" s="7">
        <f t="shared" ref="CC37:CC54" si="39">H52</f>
        <v>156.81946644885855</v>
      </c>
      <c r="CD37" s="7">
        <f t="shared" ref="CD37:CD54" si="40">I52</f>
        <v>171.8729483968385</v>
      </c>
      <c r="CE37" s="7">
        <f t="shared" ref="CE37:CE54" si="41">J52</f>
        <v>168.48905994885055</v>
      </c>
      <c r="CF37" s="7">
        <f t="shared" ref="CF37:CF54" si="42">K52</f>
        <v>169.00383762175332</v>
      </c>
      <c r="CG37" s="7">
        <f t="shared" ref="CG37:CG54" si="43">L52</f>
        <v>164.88747322512268</v>
      </c>
      <c r="CH37" s="7">
        <f t="shared" ref="CH37:CH54" si="44">M52</f>
        <v>167.22964134569051</v>
      </c>
      <c r="CI37" s="7">
        <f t="shared" ref="CI37:CI54" si="45">N52</f>
        <v>178.80910908050782</v>
      </c>
      <c r="CJ37" s="7">
        <f t="shared" ref="CJ37:CJ54" si="46">O52</f>
        <v>193.83030773270252</v>
      </c>
      <c r="CK37" s="7">
        <f t="shared" ref="CK37:CK54" si="47">P52</f>
        <v>192.94392268146368</v>
      </c>
      <c r="CL37" s="7">
        <f t="shared" ref="CL37:CL54" si="48">Q52</f>
        <v>193.24129495531079</v>
      </c>
      <c r="CM37" s="7">
        <f t="shared" ref="CM37:CM54" si="49">R52</f>
        <v>186.91499546626957</v>
      </c>
      <c r="CN37" s="7">
        <f t="shared" ref="CN37:CN54" si="50">S52</f>
        <v>182.39733525718023</v>
      </c>
      <c r="CO37" s="7">
        <f t="shared" ref="CO37:CO54" si="51">T52</f>
        <v>183.883668</v>
      </c>
      <c r="CP37" s="7">
        <f t="shared" ref="CP37:CP54" si="52">U52</f>
        <v>184.67342246184486</v>
      </c>
      <c r="CQ37" s="7">
        <f t="shared" ref="CQ37:CQ54" si="53">V52</f>
        <v>175.64905650823243</v>
      </c>
      <c r="CR37" s="7">
        <f t="shared" ref="CR37:CR54" si="54">W52</f>
        <v>168.5391508071167</v>
      </c>
      <c r="CS37" s="7">
        <f t="shared" ref="CS37:CS54" si="55">X52</f>
        <v>161.77534800000001</v>
      </c>
      <c r="CT37" s="7">
        <f t="shared" ref="CT37:CT54" si="56">Y52</f>
        <v>166.98570222614092</v>
      </c>
      <c r="CU37" s="7">
        <f t="shared" ref="CU37:CU54" si="57">Z52</f>
        <v>175.25878946924223</v>
      </c>
      <c r="CV37" s="7">
        <f t="shared" ref="CV37:CV54" si="58">AA52</f>
        <v>180.8575283733627</v>
      </c>
      <c r="CW37" s="7">
        <f t="shared" ref="CW37:CW54" si="59">AB52</f>
        <v>164.407712</v>
      </c>
      <c r="CX37" s="7">
        <f t="shared" ref="CX37:CX54" si="60">AC52</f>
        <v>131.01963673692865</v>
      </c>
      <c r="CY37" s="7">
        <f t="shared" ref="CY37:CY54" si="61">AD52</f>
        <v>109.02298694623083</v>
      </c>
      <c r="CZ37" s="7">
        <f t="shared" si="33"/>
        <v>74.967247565849974</v>
      </c>
      <c r="DA37" s="7">
        <f t="shared" ref="DA37:DA54" si="62">AF52</f>
        <v>62</v>
      </c>
      <c r="DB37" s="7">
        <f t="shared" ref="DB37:DB53" si="63">AG52</f>
        <v>67.475434841954012</v>
      </c>
      <c r="DC37" s="7">
        <f t="shared" si="34"/>
        <v>64.520665212809618</v>
      </c>
      <c r="DD37" s="7">
        <f t="shared" si="34"/>
        <v>68.584517026105416</v>
      </c>
      <c r="DE37" s="7">
        <f t="shared" si="34"/>
        <v>72</v>
      </c>
      <c r="DF37" s="7">
        <f t="shared" ref="DF37:DH37" si="64">AK52</f>
        <v>67.297448026385894</v>
      </c>
      <c r="DG37" s="7">
        <f t="shared" si="64"/>
        <v>63.720576872171549</v>
      </c>
      <c r="DH37" s="7">
        <f t="shared" si="64"/>
        <v>59.573059576118609</v>
      </c>
      <c r="DI37" s="7"/>
      <c r="DJ37" s="7"/>
      <c r="DK37">
        <f>DK36+1</f>
        <v>1986</v>
      </c>
      <c r="DL37" s="44">
        <v>11805.180783452881</v>
      </c>
      <c r="DM37" s="44">
        <f>MER_Nov19_Table2.4!E50</f>
        <v>17081.349999999999</v>
      </c>
      <c r="DZ37" t="s">
        <v>152</v>
      </c>
    </row>
    <row r="38" spans="6:147" x14ac:dyDescent="0.2">
      <c r="F38" t="str">
        <f t="shared" si="2"/>
        <v>331</v>
      </c>
      <c r="G38">
        <f>1</f>
        <v>1</v>
      </c>
      <c r="H38" s="37">
        <f t="shared" si="21"/>
        <v>0.9034918310866592</v>
      </c>
      <c r="I38" s="37">
        <f t="shared" si="22"/>
        <v>0.90298881837592704</v>
      </c>
      <c r="J38">
        <v>1</v>
      </c>
      <c r="K38">
        <f t="shared" si="3"/>
        <v>0.99245740795013793</v>
      </c>
      <c r="L38">
        <f t="shared" si="4"/>
        <v>0.99541633181460443</v>
      </c>
      <c r="M38">
        <v>1</v>
      </c>
      <c r="N38">
        <f t="shared" si="26"/>
        <v>0.99162404229898626</v>
      </c>
      <c r="O38">
        <f t="shared" si="27"/>
        <v>0.96923598863274385</v>
      </c>
      <c r="P38">
        <v>1</v>
      </c>
      <c r="Q38">
        <f t="shared" si="5"/>
        <v>1.0048268689021986</v>
      </c>
      <c r="R38">
        <f t="shared" si="6"/>
        <v>1.0426101509137549</v>
      </c>
      <c r="S38">
        <f t="shared" si="7"/>
        <v>1.00100338777058</v>
      </c>
      <c r="T38">
        <v>1</v>
      </c>
      <c r="U38">
        <f t="shared" si="28"/>
        <v>1.0249042395874102</v>
      </c>
      <c r="V38">
        <f t="shared" si="29"/>
        <v>1.0451694283836608</v>
      </c>
      <c r="W38">
        <f t="shared" si="10"/>
        <v>0.94652460846482933</v>
      </c>
      <c r="X38">
        <v>1</v>
      </c>
      <c r="Y38">
        <f t="shared" si="11"/>
        <v>0.95531635627145151</v>
      </c>
      <c r="Z38">
        <f t="shared" si="12"/>
        <v>0.98329089916634194</v>
      </c>
      <c r="AA38">
        <f t="shared" si="13"/>
        <v>1.0256920482389524</v>
      </c>
      <c r="AB38">
        <v>1</v>
      </c>
      <c r="AC38">
        <f t="shared" si="14"/>
        <v>1.0764534059204018</v>
      </c>
      <c r="AD38">
        <f t="shared" si="15"/>
        <v>1.1184905422800693</v>
      </c>
      <c r="AE38">
        <f t="shared" si="16"/>
        <v>0.85848466597856277</v>
      </c>
      <c r="AF38">
        <v>1</v>
      </c>
      <c r="AG38">
        <f t="shared" si="17"/>
        <v>1.1530940976873334</v>
      </c>
      <c r="AH38">
        <f t="shared" si="18"/>
        <v>1.1238063284611541</v>
      </c>
      <c r="AI38">
        <f t="shared" si="19"/>
        <v>1.0324152195285836</v>
      </c>
      <c r="AJ38">
        <v>1</v>
      </c>
      <c r="AK38">
        <f t="shared" si="23"/>
        <v>0.97845671891142738</v>
      </c>
      <c r="AL38">
        <f t="shared" si="24"/>
        <v>0.8198131180796584</v>
      </c>
      <c r="AM38">
        <f t="shared" si="25"/>
        <v>0.81796192147067814</v>
      </c>
      <c r="BJ38">
        <f t="shared" ref="BJ38:BJ61" si="65">BJ37+1</f>
        <v>1987</v>
      </c>
      <c r="BK38" s="15">
        <v>12244.467026933529</v>
      </c>
      <c r="BL38" s="15">
        <f>MECS_Annual_Fuel1!BJ38</f>
        <v>11824.903702251868</v>
      </c>
      <c r="BM38" s="15">
        <f t="shared" si="35"/>
        <v>17959.455000000002</v>
      </c>
      <c r="BN38" s="15">
        <f t="shared" si="36"/>
        <v>17959455</v>
      </c>
      <c r="CA38" t="str">
        <f t="shared" si="37"/>
        <v>315-316</v>
      </c>
      <c r="CB38" s="7">
        <f t="shared" si="38"/>
        <v>27.870927218965459</v>
      </c>
      <c r="CC38" s="7">
        <f t="shared" si="39"/>
        <v>33.631593252843487</v>
      </c>
      <c r="CD38" s="7">
        <f t="shared" si="40"/>
        <v>39.615552598854052</v>
      </c>
      <c r="CE38" s="7">
        <f t="shared" si="41"/>
        <v>46.203934666809843</v>
      </c>
      <c r="CF38" s="7">
        <f t="shared" si="42"/>
        <v>41.335996246698251</v>
      </c>
      <c r="CG38" s="7">
        <f t="shared" si="43"/>
        <v>36.748781894154362</v>
      </c>
      <c r="CH38" s="7">
        <f t="shared" si="44"/>
        <v>36.963147733447869</v>
      </c>
      <c r="CI38" s="7">
        <f t="shared" si="45"/>
        <v>37.95122991416855</v>
      </c>
      <c r="CJ38" s="7">
        <f t="shared" si="46"/>
        <v>38.969253979153493</v>
      </c>
      <c r="CK38" s="7">
        <f t="shared" si="47"/>
        <v>39.957336159874167</v>
      </c>
      <c r="CL38" s="7">
        <f t="shared" si="48"/>
        <v>42.784075130240332</v>
      </c>
      <c r="CM38" s="7">
        <f t="shared" si="49"/>
        <v>41.983935653390816</v>
      </c>
      <c r="CN38" s="7">
        <f t="shared" si="50"/>
        <v>36.075824958364926</v>
      </c>
      <c r="CO38" s="7">
        <f t="shared" si="51"/>
        <v>35.487055999999995</v>
      </c>
      <c r="CP38" s="7">
        <f t="shared" si="52"/>
        <v>35.207811781512774</v>
      </c>
      <c r="CQ38" s="7">
        <f t="shared" si="53"/>
        <v>38.517516106102029</v>
      </c>
      <c r="CR38" s="7">
        <f t="shared" si="54"/>
        <v>38.011221624353787</v>
      </c>
      <c r="CS38" s="7">
        <f t="shared" si="55"/>
        <v>22.314752000000002</v>
      </c>
      <c r="CT38" s="7">
        <f t="shared" si="56"/>
        <v>18.041416154475037</v>
      </c>
      <c r="CU38" s="7">
        <f t="shared" si="57"/>
        <v>17.982706274995483</v>
      </c>
      <c r="CV38" s="7">
        <f t="shared" si="58"/>
        <v>13.772810621563261</v>
      </c>
      <c r="CW38" s="7">
        <f t="shared" si="59"/>
        <v>8.7224880000000002</v>
      </c>
      <c r="CX38" s="7">
        <f t="shared" si="60"/>
        <v>5.8406535981034562</v>
      </c>
      <c r="CY38" s="7">
        <f t="shared" si="61"/>
        <v>4.3935652006285961</v>
      </c>
      <c r="CZ38" s="7">
        <f t="shared" si="33"/>
        <v>3.1051374821196021</v>
      </c>
      <c r="DA38" s="7">
        <f t="shared" si="62"/>
        <v>3</v>
      </c>
      <c r="DB38" s="7">
        <f t="shared" si="63"/>
        <v>3.0870100675593122</v>
      </c>
      <c r="DC38" s="7">
        <f t="shared" si="34"/>
        <v>2.5355252526918068</v>
      </c>
      <c r="DD38" s="7">
        <f t="shared" si="34"/>
        <v>2.7822744782525901</v>
      </c>
      <c r="DE38" s="7">
        <f t="shared" si="34"/>
        <v>3</v>
      </c>
      <c r="DF38" s="7">
        <f t="shared" ref="DF38:DH38" si="66">AK53</f>
        <v>2.8570207715339491</v>
      </c>
      <c r="DG38" s="7">
        <f t="shared" si="66"/>
        <v>2.7356919694565347</v>
      </c>
      <c r="DH38" s="7">
        <f t="shared" si="66"/>
        <v>2.5042552102357565</v>
      </c>
      <c r="DI38" s="7"/>
      <c r="DJ38" s="7"/>
      <c r="DK38">
        <f t="shared" ref="DK38:DK61" si="67">DK37+1</f>
        <v>1987</v>
      </c>
      <c r="DL38" s="44">
        <v>12072.928350736656</v>
      </c>
      <c r="DM38" s="44">
        <f>MER_Nov19_Table2.4!E51</f>
        <v>17959.455000000002</v>
      </c>
    </row>
    <row r="39" spans="6:147" x14ac:dyDescent="0.2">
      <c r="F39" t="str">
        <f t="shared" si="2"/>
        <v>332</v>
      </c>
      <c r="G39">
        <f>1</f>
        <v>1</v>
      </c>
      <c r="H39" s="37">
        <f t="shared" si="21"/>
        <v>0.9220066164546159</v>
      </c>
      <c r="I39" s="37">
        <f t="shared" si="22"/>
        <v>1.0020979924104427</v>
      </c>
      <c r="J39">
        <v>1</v>
      </c>
      <c r="K39">
        <f t="shared" si="3"/>
        <v>1.0050411127885337</v>
      </c>
      <c r="L39">
        <f t="shared" si="4"/>
        <v>1.0187796979383039</v>
      </c>
      <c r="M39">
        <v>1</v>
      </c>
      <c r="N39">
        <f t="shared" si="26"/>
        <v>0.98847349892361325</v>
      </c>
      <c r="O39">
        <f t="shared" si="27"/>
        <v>1.0155328556315169</v>
      </c>
      <c r="P39">
        <v>1</v>
      </c>
      <c r="Q39">
        <f t="shared" si="5"/>
        <v>1.0095577390113661</v>
      </c>
      <c r="R39">
        <f t="shared" si="6"/>
        <v>1.0065052197863706</v>
      </c>
      <c r="S39">
        <f t="shared" si="7"/>
        <v>1.0109754289248027</v>
      </c>
      <c r="T39">
        <v>1</v>
      </c>
      <c r="U39">
        <f t="shared" si="28"/>
        <v>1.0695577791770001</v>
      </c>
      <c r="V39">
        <f t="shared" si="29"/>
        <v>1.1207689908497918</v>
      </c>
      <c r="W39">
        <f t="shared" si="10"/>
        <v>1.1123544098092206</v>
      </c>
      <c r="X39">
        <v>1</v>
      </c>
      <c r="Y39">
        <f t="shared" si="11"/>
        <v>0.96690805519498535</v>
      </c>
      <c r="Z39">
        <f t="shared" si="12"/>
        <v>1.0551784051811721</v>
      </c>
      <c r="AA39">
        <f t="shared" si="13"/>
        <v>1.0670554744553797</v>
      </c>
      <c r="AB39">
        <v>1</v>
      </c>
      <c r="AC39">
        <f t="shared" si="14"/>
        <v>0.96563413029459488</v>
      </c>
      <c r="AD39">
        <f t="shared" si="15"/>
        <v>1.056077018034203</v>
      </c>
      <c r="AE39">
        <f t="shared" si="16"/>
        <v>0.87469538115685463</v>
      </c>
      <c r="AF39">
        <v>1</v>
      </c>
      <c r="AG39">
        <f t="shared" si="17"/>
        <v>1.0701418743506528</v>
      </c>
      <c r="AH39">
        <f t="shared" si="18"/>
        <v>0.99202679772280866</v>
      </c>
      <c r="AI39">
        <f t="shared" si="19"/>
        <v>1.0009148305428537</v>
      </c>
      <c r="AJ39">
        <v>1</v>
      </c>
      <c r="AK39">
        <f t="shared" si="23"/>
        <v>0.98697059449769931</v>
      </c>
      <c r="AL39">
        <f t="shared" si="24"/>
        <v>0.95644149651238952</v>
      </c>
      <c r="AM39">
        <f t="shared" si="25"/>
        <v>0.91224393160967887</v>
      </c>
      <c r="BJ39">
        <f t="shared" si="65"/>
        <v>1988</v>
      </c>
      <c r="BK39" s="15">
        <v>13042.115484022981</v>
      </c>
      <c r="BL39" s="15">
        <f>MECS_Annual_Fuel1!BJ39</f>
        <v>13042.115484022981</v>
      </c>
      <c r="BM39" s="15">
        <f t="shared" si="35"/>
        <v>18789.442999999999</v>
      </c>
      <c r="BN39" s="15">
        <f t="shared" si="36"/>
        <v>18789443</v>
      </c>
      <c r="CA39" t="str">
        <f t="shared" si="37"/>
        <v>321</v>
      </c>
      <c r="CB39" s="7">
        <f t="shared" si="38"/>
        <v>248.79987339144392</v>
      </c>
      <c r="CC39" s="7">
        <f t="shared" si="39"/>
        <v>257.9654171791114</v>
      </c>
      <c r="CD39" s="7">
        <f t="shared" si="40"/>
        <v>295.94532242068425</v>
      </c>
      <c r="CE39" s="7">
        <f t="shared" si="41"/>
        <v>302.60197307912358</v>
      </c>
      <c r="CF39" s="7">
        <f t="shared" si="42"/>
        <v>304.57856043540056</v>
      </c>
      <c r="CG39" s="7">
        <f t="shared" si="43"/>
        <v>309.21478262480241</v>
      </c>
      <c r="CH39" s="7">
        <f t="shared" si="44"/>
        <v>314.83245355703338</v>
      </c>
      <c r="CI39" s="7">
        <f t="shared" si="45"/>
        <v>311.44716992932456</v>
      </c>
      <c r="CJ39" s="7">
        <f t="shared" si="46"/>
        <v>322.80220909337817</v>
      </c>
      <c r="CK39" s="7">
        <f t="shared" si="47"/>
        <v>319.45866435321039</v>
      </c>
      <c r="CL39" s="7">
        <f t="shared" si="48"/>
        <v>347.60478066532323</v>
      </c>
      <c r="CM39" s="7">
        <f t="shared" si="49"/>
        <v>370.12426401292805</v>
      </c>
      <c r="CN39" s="7">
        <f t="shared" si="50"/>
        <v>405.61721992137211</v>
      </c>
      <c r="CO39" s="7">
        <f t="shared" si="51"/>
        <v>431.76796000000002</v>
      </c>
      <c r="CP39" s="7">
        <f t="shared" si="52"/>
        <v>419.08830196660148</v>
      </c>
      <c r="CQ39" s="7">
        <f t="shared" si="53"/>
        <v>386.73481876758336</v>
      </c>
      <c r="CR39" s="7">
        <f t="shared" si="54"/>
        <v>333.59346446267381</v>
      </c>
      <c r="CS39" s="7">
        <f t="shared" si="55"/>
        <v>303.39918</v>
      </c>
      <c r="CT39" s="7">
        <f t="shared" si="56"/>
        <v>308.45863926815002</v>
      </c>
      <c r="CU39" s="7">
        <f t="shared" si="57"/>
        <v>346.4297043524744</v>
      </c>
      <c r="CV39" s="7">
        <f t="shared" si="58"/>
        <v>357.81020556147917</v>
      </c>
      <c r="CW39" s="7">
        <f t="shared" si="59"/>
        <v>353.821124</v>
      </c>
      <c r="CX39" s="7">
        <f t="shared" si="60"/>
        <v>353.17246133511139</v>
      </c>
      <c r="CY39" s="7">
        <f t="shared" si="61"/>
        <v>369.09832862726574</v>
      </c>
      <c r="CZ39" s="7">
        <f t="shared" si="33"/>
        <v>340.8533318925015</v>
      </c>
      <c r="DA39" s="7">
        <f t="shared" si="62"/>
        <v>418</v>
      </c>
      <c r="DB39" s="7">
        <f t="shared" si="63"/>
        <v>392.13892849651705</v>
      </c>
      <c r="DC39" s="7">
        <f t="shared" si="34"/>
        <v>345.56699625739475</v>
      </c>
      <c r="DD39" s="7">
        <f t="shared" si="34"/>
        <v>336.8269813938291</v>
      </c>
      <c r="DE39" s="7">
        <f t="shared" si="34"/>
        <v>311</v>
      </c>
      <c r="DF39" s="7">
        <f t="shared" ref="DF39:DH39" si="68">AK54</f>
        <v>323.16183725171015</v>
      </c>
      <c r="DG39" s="7">
        <f t="shared" si="68"/>
        <v>318.51549703372802</v>
      </c>
      <c r="DH39" s="7">
        <f t="shared" si="68"/>
        <v>298.6518831234963</v>
      </c>
      <c r="DI39" s="7"/>
      <c r="DJ39" s="7"/>
      <c r="DK39">
        <f t="shared" si="67"/>
        <v>1988</v>
      </c>
      <c r="DL39" s="44">
        <v>13042.115484022981</v>
      </c>
      <c r="DM39" s="44">
        <f>MER_Nov19_Table2.4!E52</f>
        <v>18789.442999999999</v>
      </c>
      <c r="DZ39" s="2" t="s">
        <v>12</v>
      </c>
      <c r="EA39" s="2" t="s">
        <v>13</v>
      </c>
      <c r="EB39" s="2" t="s">
        <v>14</v>
      </c>
      <c r="EC39">
        <v>321</v>
      </c>
      <c r="ED39">
        <v>322</v>
      </c>
      <c r="EE39">
        <v>323</v>
      </c>
      <c r="EF39">
        <v>324</v>
      </c>
      <c r="EG39">
        <v>325</v>
      </c>
      <c r="EH39">
        <v>326</v>
      </c>
      <c r="EI39">
        <v>327</v>
      </c>
      <c r="EJ39">
        <v>331</v>
      </c>
      <c r="EK39">
        <v>332</v>
      </c>
      <c r="EL39">
        <v>333</v>
      </c>
      <c r="EM39">
        <v>334</v>
      </c>
      <c r="EN39">
        <v>335</v>
      </c>
      <c r="EO39">
        <v>336</v>
      </c>
      <c r="EP39">
        <v>337</v>
      </c>
      <c r="EQ39">
        <v>339</v>
      </c>
    </row>
    <row r="40" spans="6:147" x14ac:dyDescent="0.2">
      <c r="F40" t="str">
        <f t="shared" si="2"/>
        <v>333</v>
      </c>
      <c r="G40">
        <f>1</f>
        <v>1</v>
      </c>
      <c r="H40" s="37">
        <f t="shared" si="21"/>
        <v>0.93391885345465331</v>
      </c>
      <c r="I40" s="37">
        <f t="shared" si="22"/>
        <v>0.99904850266629819</v>
      </c>
      <c r="J40">
        <v>1</v>
      </c>
      <c r="K40">
        <f t="shared" si="3"/>
        <v>1.018519473248942</v>
      </c>
      <c r="L40">
        <f t="shared" si="4"/>
        <v>1.0583433922992056</v>
      </c>
      <c r="M40">
        <v>1</v>
      </c>
      <c r="N40">
        <f t="shared" si="26"/>
        <v>0.97711083605741933</v>
      </c>
      <c r="O40">
        <f t="shared" si="27"/>
        <v>0.96752690933527885</v>
      </c>
      <c r="P40">
        <v>1</v>
      </c>
      <c r="Q40">
        <f t="shared" si="5"/>
        <v>0.99465763206131419</v>
      </c>
      <c r="R40">
        <f t="shared" si="6"/>
        <v>0.9874726246763581</v>
      </c>
      <c r="S40">
        <f t="shared" si="7"/>
        <v>1.0117719434716752</v>
      </c>
      <c r="T40">
        <v>1</v>
      </c>
      <c r="U40">
        <f t="shared" si="28"/>
        <v>1.0063532875805563</v>
      </c>
      <c r="V40">
        <f t="shared" si="29"/>
        <v>1.0797878055974603</v>
      </c>
      <c r="W40">
        <f t="shared" si="10"/>
        <v>1.0884254684368262</v>
      </c>
      <c r="X40">
        <v>1</v>
      </c>
      <c r="Y40">
        <f t="shared" si="11"/>
        <v>0.9285566735046501</v>
      </c>
      <c r="Z40">
        <f t="shared" si="12"/>
        <v>1.0207667644965683</v>
      </c>
      <c r="AA40">
        <f t="shared" si="13"/>
        <v>1.0291406177088365</v>
      </c>
      <c r="AB40">
        <v>1</v>
      </c>
      <c r="AC40">
        <f t="shared" si="14"/>
        <v>1.0527952188325604</v>
      </c>
      <c r="AD40">
        <f t="shared" si="15"/>
        <v>1.1014054668946611</v>
      </c>
      <c r="AE40">
        <f t="shared" si="16"/>
        <v>0.92837050645119112</v>
      </c>
      <c r="AF40">
        <v>1</v>
      </c>
      <c r="AG40">
        <f t="shared" si="17"/>
        <v>1.0749544757052003</v>
      </c>
      <c r="AH40">
        <f t="shared" si="18"/>
        <v>1.0003775907125212</v>
      </c>
      <c r="AI40">
        <f t="shared" si="19"/>
        <v>0.9965215977360502</v>
      </c>
      <c r="AJ40">
        <v>1</v>
      </c>
      <c r="AK40">
        <f t="shared" si="23"/>
        <v>0.9706131092725504</v>
      </c>
      <c r="AL40">
        <f t="shared" si="24"/>
        <v>0.95563579252637287</v>
      </c>
      <c r="AM40">
        <f t="shared" si="25"/>
        <v>0.92216609248935288</v>
      </c>
      <c r="BJ40">
        <f t="shared" si="65"/>
        <v>1989</v>
      </c>
      <c r="BK40" s="15">
        <v>12938.712984296737</v>
      </c>
      <c r="BL40" s="15">
        <f>MECS_Annual_Fuel1!BJ40</f>
        <v>13031.66415840178</v>
      </c>
      <c r="BM40" s="15">
        <f t="shared" si="35"/>
        <v>18964.764999999999</v>
      </c>
      <c r="BN40" s="15">
        <f t="shared" si="36"/>
        <v>18964765</v>
      </c>
      <c r="CA40" t="str">
        <f t="shared" si="37"/>
        <v>322</v>
      </c>
      <c r="CB40" s="7">
        <f t="shared" si="38"/>
        <v>2017.3632372266716</v>
      </c>
      <c r="CC40" s="7">
        <f t="shared" si="39"/>
        <v>2185.7420891092902</v>
      </c>
      <c r="CD40" s="7">
        <f t="shared" si="40"/>
        <v>2167.9174255288149</v>
      </c>
      <c r="CE40" s="7">
        <f t="shared" si="41"/>
        <v>2153.9562641132611</v>
      </c>
      <c r="CF40" s="7">
        <f t="shared" si="42"/>
        <v>2213.0471422891374</v>
      </c>
      <c r="CG40" s="7">
        <f t="shared" si="43"/>
        <v>2350.5908952008981</v>
      </c>
      <c r="CH40" s="7">
        <f t="shared" si="44"/>
        <v>2267.2367478194155</v>
      </c>
      <c r="CI40" s="7">
        <f t="shared" si="45"/>
        <v>2323.9149041441701</v>
      </c>
      <c r="CJ40" s="7">
        <f t="shared" si="46"/>
        <v>2422.306131810823</v>
      </c>
      <c r="CK40" s="7">
        <f t="shared" si="47"/>
        <v>2406.5414497255788</v>
      </c>
      <c r="CL40" s="7">
        <f t="shared" si="48"/>
        <v>2469.5193494741152</v>
      </c>
      <c r="CM40" s="7">
        <f t="shared" si="49"/>
        <v>2433.386759999657</v>
      </c>
      <c r="CN40" s="7">
        <f t="shared" si="50"/>
        <v>2419.8042180806001</v>
      </c>
      <c r="CO40" s="7">
        <f t="shared" si="51"/>
        <v>2503.918032</v>
      </c>
      <c r="CP40" s="7">
        <f t="shared" si="52"/>
        <v>2365.3738609324801</v>
      </c>
      <c r="CQ40" s="7">
        <f t="shared" si="53"/>
        <v>2379.1675428212411</v>
      </c>
      <c r="CR40" s="7">
        <f t="shared" si="54"/>
        <v>2251.0650826608944</v>
      </c>
      <c r="CS40" s="7">
        <f t="shared" si="55"/>
        <v>2137.503764</v>
      </c>
      <c r="CT40" s="7">
        <f t="shared" si="56"/>
        <v>2136.2773725826887</v>
      </c>
      <c r="CU40" s="7">
        <f t="shared" si="57"/>
        <v>2193.4125594876432</v>
      </c>
      <c r="CV40" s="7">
        <f t="shared" si="58"/>
        <v>2213.1160558606671</v>
      </c>
      <c r="CW40" s="7">
        <f t="shared" si="59"/>
        <v>2106.5685840000001</v>
      </c>
      <c r="CX40" s="7">
        <f t="shared" si="60"/>
        <v>2150.1800317573543</v>
      </c>
      <c r="CY40" s="7">
        <f t="shared" si="61"/>
        <v>1955.3043092340858</v>
      </c>
      <c r="CZ40" s="7">
        <f t="shared" si="33"/>
        <v>1858.2918324601335</v>
      </c>
      <c r="DA40" s="7">
        <f t="shared" si="62"/>
        <v>1904</v>
      </c>
      <c r="DB40" s="7">
        <f t="shared" si="63"/>
        <v>1947.0947983266572</v>
      </c>
      <c r="DC40" s="7">
        <f t="shared" si="34"/>
        <v>1931.4279896091687</v>
      </c>
      <c r="DD40" s="7">
        <f t="shared" si="34"/>
        <v>1858.5512267495544</v>
      </c>
      <c r="DE40" s="7">
        <f t="shared" si="34"/>
        <v>1899</v>
      </c>
      <c r="DF40" s="7">
        <f t="shared" ref="DF40:DH40" si="69">AK55</f>
        <v>1943.5627767764981</v>
      </c>
      <c r="DG40" s="7">
        <f t="shared" si="69"/>
        <v>1928.1742389513456</v>
      </c>
      <c r="DH40" s="7">
        <f t="shared" si="69"/>
        <v>1799.6227304249944</v>
      </c>
      <c r="DI40" s="7"/>
      <c r="DJ40" s="7"/>
      <c r="DK40">
        <f t="shared" si="67"/>
        <v>1989</v>
      </c>
      <c r="DL40" s="44">
        <v>13104.265331447779</v>
      </c>
      <c r="DM40" s="44">
        <f>MER_Nov19_Table2.4!E53</f>
        <v>18964.764999999999</v>
      </c>
      <c r="DY40">
        <v>1985</v>
      </c>
      <c r="DZ40" s="49">
        <f t="array" ref="DZ40:EQ72">TRANSPOSE(CB80:DH97)</f>
        <v>814.40918409036976</v>
      </c>
      <c r="EA40" s="49">
        <v>156.1414043262503</v>
      </c>
      <c r="EB40" s="49">
        <v>27.870927218965459</v>
      </c>
      <c r="EC40" s="49">
        <v>248.79987339144392</v>
      </c>
      <c r="ED40" s="49">
        <v>2017.3632372266716</v>
      </c>
      <c r="EE40" s="49">
        <v>26.699079874753146</v>
      </c>
      <c r="EF40" s="49">
        <v>2519.6333802647096</v>
      </c>
      <c r="EG40" s="49">
        <v>1982.3306729500532</v>
      </c>
      <c r="EH40" s="49">
        <v>128.43055874180072</v>
      </c>
      <c r="EI40" s="49">
        <v>791.01545520082436</v>
      </c>
      <c r="EJ40" s="49">
        <v>1931.5726855408925</v>
      </c>
      <c r="EK40" s="49">
        <v>218.6220851003327</v>
      </c>
      <c r="EL40" s="49">
        <v>118.55685257512636</v>
      </c>
      <c r="EM40" s="49">
        <v>54.789455724294967</v>
      </c>
      <c r="EN40" s="49">
        <v>62.919467623803939</v>
      </c>
      <c r="EO40" s="49">
        <v>234.98001273849101</v>
      </c>
      <c r="EP40" s="49">
        <v>37.383822846973821</v>
      </c>
      <c r="EQ40" s="49">
        <v>33.863505680901589</v>
      </c>
    </row>
    <row r="41" spans="6:147" x14ac:dyDescent="0.2">
      <c r="F41" t="str">
        <f t="shared" si="2"/>
        <v>334</v>
      </c>
      <c r="G41">
        <f>1</f>
        <v>1</v>
      </c>
      <c r="H41" s="37">
        <f t="shared" si="21"/>
        <v>0.99835226732311744</v>
      </c>
      <c r="I41" s="37">
        <f t="shared" si="22"/>
        <v>1.0210773274236102</v>
      </c>
      <c r="J41">
        <v>1</v>
      </c>
      <c r="K41">
        <f t="shared" si="3"/>
        <v>1.0087261993947962</v>
      </c>
      <c r="L41">
        <f t="shared" si="4"/>
        <v>1.0398187719886864</v>
      </c>
      <c r="M41">
        <v>1</v>
      </c>
      <c r="N41">
        <f t="shared" si="26"/>
        <v>0.98964778677910203</v>
      </c>
      <c r="O41">
        <f t="shared" si="27"/>
        <v>0.98451450703227639</v>
      </c>
      <c r="P41">
        <v>1</v>
      </c>
      <c r="Q41">
        <f t="shared" si="5"/>
        <v>0.99917043402037853</v>
      </c>
      <c r="R41">
        <f t="shared" si="6"/>
        <v>1.0027360376576544</v>
      </c>
      <c r="S41">
        <f t="shared" si="7"/>
        <v>1.0140893099889423</v>
      </c>
      <c r="T41">
        <v>1</v>
      </c>
      <c r="U41">
        <f t="shared" si="28"/>
        <v>0.99836363957576779</v>
      </c>
      <c r="V41">
        <f t="shared" si="29"/>
        <v>1.1171596398521955</v>
      </c>
      <c r="W41">
        <f t="shared" si="10"/>
        <v>1.1180231883917764</v>
      </c>
      <c r="X41">
        <v>1</v>
      </c>
      <c r="Y41">
        <f t="shared" si="11"/>
        <v>0.99963550929106293</v>
      </c>
      <c r="Z41">
        <f t="shared" si="12"/>
        <v>1.0202930172005999</v>
      </c>
      <c r="AA41">
        <f t="shared" si="13"/>
        <v>1.0065398790146431</v>
      </c>
      <c r="AB41">
        <v>1</v>
      </c>
      <c r="AC41">
        <f t="shared" si="14"/>
        <v>1.0374624382354618</v>
      </c>
      <c r="AD41">
        <f t="shared" si="15"/>
        <v>1.0800343402147936</v>
      </c>
      <c r="AE41">
        <f t="shared" si="16"/>
        <v>1.0052837351066022</v>
      </c>
      <c r="AF41">
        <v>1</v>
      </c>
      <c r="AG41">
        <f t="shared" si="17"/>
        <v>0.87561796375284406</v>
      </c>
      <c r="AH41">
        <f t="shared" si="18"/>
        <v>1.1526534581792169</v>
      </c>
      <c r="AI41">
        <f t="shared" si="19"/>
        <v>0.92407420236201532</v>
      </c>
      <c r="AJ41">
        <v>1</v>
      </c>
      <c r="AK41">
        <f t="shared" si="23"/>
        <v>1.0727752875798495</v>
      </c>
      <c r="AL41">
        <f t="shared" si="24"/>
        <v>1.0992707839584801</v>
      </c>
      <c r="AM41">
        <f t="shared" si="25"/>
        <v>1.0739557272441458</v>
      </c>
      <c r="BJ41">
        <f t="shared" si="65"/>
        <v>1990</v>
      </c>
      <c r="BK41" s="15">
        <v>13127.243620441241</v>
      </c>
      <c r="BL41" s="15">
        <f>MECS_Annual_Fuel1!BJ41</f>
        <v>13045.831639619726</v>
      </c>
      <c r="BM41" s="15">
        <f t="shared" si="35"/>
        <v>19402.468000000001</v>
      </c>
      <c r="BN41" s="15">
        <f t="shared" si="36"/>
        <v>19402468</v>
      </c>
      <c r="CA41" t="str">
        <f t="shared" si="37"/>
        <v>323</v>
      </c>
      <c r="CB41" s="7">
        <f t="shared" si="38"/>
        <v>26.699079874753146</v>
      </c>
      <c r="CC41" s="7">
        <f t="shared" si="39"/>
        <v>29.673834822986024</v>
      </c>
      <c r="CD41" s="7">
        <f t="shared" si="40"/>
        <v>34.872850055727547</v>
      </c>
      <c r="CE41" s="7">
        <f t="shared" si="41"/>
        <v>40.089746346787351</v>
      </c>
      <c r="CF41" s="7">
        <f t="shared" si="42"/>
        <v>39.472957001976042</v>
      </c>
      <c r="CG41" s="7">
        <f t="shared" si="43"/>
        <v>40.115553512094927</v>
      </c>
      <c r="CH41" s="7">
        <f t="shared" si="44"/>
        <v>38.576483481067747</v>
      </c>
      <c r="CI41" s="7">
        <f t="shared" si="45"/>
        <v>38.249269868458356</v>
      </c>
      <c r="CJ41" s="7">
        <f t="shared" si="46"/>
        <v>39.117927782255769</v>
      </c>
      <c r="CK41" s="7">
        <f t="shared" si="47"/>
        <v>37.113573244007682</v>
      </c>
      <c r="CL41" s="7">
        <f t="shared" si="48"/>
        <v>39.956553539447306</v>
      </c>
      <c r="CM41" s="7">
        <f t="shared" si="49"/>
        <v>41.969957276170064</v>
      </c>
      <c r="CN41" s="7">
        <f t="shared" si="50"/>
        <v>44.230845172679878</v>
      </c>
      <c r="CO41" s="7">
        <f t="shared" si="51"/>
        <v>47.004247999999997</v>
      </c>
      <c r="CP41" s="7">
        <f t="shared" si="52"/>
        <v>47.240438646063247</v>
      </c>
      <c r="CQ41" s="7">
        <f t="shared" si="53"/>
        <v>49.877730982503209</v>
      </c>
      <c r="CR41" s="7">
        <f t="shared" si="54"/>
        <v>49.290041522731229</v>
      </c>
      <c r="CS41" s="7">
        <f t="shared" si="55"/>
        <v>47.795832000000004</v>
      </c>
      <c r="CT41" s="7">
        <f t="shared" si="56"/>
        <v>44.805577596795843</v>
      </c>
      <c r="CU41" s="7">
        <f t="shared" si="57"/>
        <v>47.724610919701639</v>
      </c>
      <c r="CV41" s="7">
        <f t="shared" si="58"/>
        <v>44.771707788812314</v>
      </c>
      <c r="CW41" s="7">
        <f t="shared" si="59"/>
        <v>40.374451999999998</v>
      </c>
      <c r="CX41" s="7">
        <f t="shared" si="60"/>
        <v>39.680241781726473</v>
      </c>
      <c r="CY41" s="7">
        <f t="shared" si="61"/>
        <v>41.635466330434035</v>
      </c>
      <c r="CZ41" s="7">
        <f t="shared" si="33"/>
        <v>35.798656495699362</v>
      </c>
      <c r="DA41" s="7">
        <f t="shared" si="62"/>
        <v>36</v>
      </c>
      <c r="DB41" s="7">
        <f t="shared" si="63"/>
        <v>37.239600146478182</v>
      </c>
      <c r="DC41" s="7">
        <f t="shared" si="34"/>
        <v>37.047201548658769</v>
      </c>
      <c r="DD41" s="7">
        <f t="shared" si="34"/>
        <v>38.731793265159865</v>
      </c>
      <c r="DE41" s="7">
        <f t="shared" si="34"/>
        <v>40</v>
      </c>
      <c r="DF41" s="7">
        <f t="shared" ref="DF41:DH41" si="70">AK56</f>
        <v>39.208928328830737</v>
      </c>
      <c r="DG41" s="7">
        <f t="shared" si="70"/>
        <v>38.773606562144806</v>
      </c>
      <c r="DH41" s="7">
        <f t="shared" si="70"/>
        <v>32.416093334231064</v>
      </c>
      <c r="DI41" s="7"/>
      <c r="DJ41" s="7"/>
      <c r="DK41">
        <f t="shared" si="67"/>
        <v>1990</v>
      </c>
      <c r="DL41" s="44">
        <v>13103.425439913102</v>
      </c>
      <c r="DM41" s="44">
        <f>MER_Nov19_Table2.4!E54</f>
        <v>19402.468000000001</v>
      </c>
      <c r="DY41">
        <f>DY40+1</f>
        <v>1986</v>
      </c>
      <c r="DZ41" s="49">
        <v>851.19749953824692</v>
      </c>
      <c r="EA41" s="49">
        <v>167.34431376858677</v>
      </c>
      <c r="EB41" s="49">
        <v>38.210686463826796</v>
      </c>
      <c r="EC41" s="49">
        <v>255.75096288820842</v>
      </c>
      <c r="ED41" s="49">
        <v>1985.8799822003309</v>
      </c>
      <c r="EE41" s="49">
        <v>31.398684042991388</v>
      </c>
      <c r="EF41" s="49">
        <v>2850.2471338482869</v>
      </c>
      <c r="EG41" s="49">
        <v>2015.168144981348</v>
      </c>
      <c r="EH41" s="49">
        <v>135.02187702867309</v>
      </c>
      <c r="EI41" s="49">
        <v>833.84549437982139</v>
      </c>
      <c r="EJ41" s="49">
        <v>1819.4681276410374</v>
      </c>
      <c r="EK41" s="49">
        <v>236.43141790334087</v>
      </c>
      <c r="EL41" s="49">
        <v>131.76262360948817</v>
      </c>
      <c r="EM41" s="49">
        <v>56.773381394787812</v>
      </c>
      <c r="EN41" s="49">
        <v>69.916919680982033</v>
      </c>
      <c r="EO41" s="49">
        <v>244.14932796917603</v>
      </c>
      <c r="EP41" s="49">
        <v>42.985850897299549</v>
      </c>
      <c r="EQ41" s="49">
        <v>39.628355216449528</v>
      </c>
    </row>
    <row r="42" spans="6:147" x14ac:dyDescent="0.2">
      <c r="F42" t="str">
        <f t="shared" si="2"/>
        <v>335</v>
      </c>
      <c r="G42">
        <f>1</f>
        <v>1</v>
      </c>
      <c r="H42" s="37">
        <f t="shared" si="21"/>
        <v>0.98146651243954608</v>
      </c>
      <c r="I42" s="37">
        <f t="shared" si="22"/>
        <v>1.0021920656454095</v>
      </c>
      <c r="J42">
        <v>1</v>
      </c>
      <c r="K42">
        <f t="shared" si="3"/>
        <v>1.0014458216896112</v>
      </c>
      <c r="L42">
        <f t="shared" si="4"/>
        <v>1.0251319354593809</v>
      </c>
      <c r="M42">
        <v>1</v>
      </c>
      <c r="N42">
        <f t="shared" si="26"/>
        <v>0.98445073150062379</v>
      </c>
      <c r="O42">
        <f t="shared" si="27"/>
        <v>0.9966755016920299</v>
      </c>
      <c r="P42">
        <v>1</v>
      </c>
      <c r="Q42">
        <f t="shared" si="5"/>
        <v>1.0092009873068852</v>
      </c>
      <c r="R42">
        <f t="shared" si="6"/>
        <v>1.0036426760478261</v>
      </c>
      <c r="S42">
        <f t="shared" si="7"/>
        <v>1.0307228814682592</v>
      </c>
      <c r="T42">
        <v>1</v>
      </c>
      <c r="U42">
        <f t="shared" si="28"/>
        <v>1.0317024866086444</v>
      </c>
      <c r="V42">
        <f t="shared" si="29"/>
        <v>1.0793969647641029</v>
      </c>
      <c r="W42">
        <f t="shared" si="10"/>
        <v>1.0805132582910746</v>
      </c>
      <c r="X42">
        <v>1</v>
      </c>
      <c r="Y42">
        <f t="shared" si="11"/>
        <v>0.96250152793500598</v>
      </c>
      <c r="Z42">
        <f t="shared" si="12"/>
        <v>0.99133429174184706</v>
      </c>
      <c r="AA42">
        <f t="shared" si="13"/>
        <v>1.0135671839935054</v>
      </c>
      <c r="AB42">
        <v>1</v>
      </c>
      <c r="AC42">
        <f t="shared" si="14"/>
        <v>1.0797582205636813</v>
      </c>
      <c r="AD42">
        <f t="shared" si="15"/>
        <v>1.0935679415005182</v>
      </c>
      <c r="AE42">
        <f t="shared" si="16"/>
        <v>0.91376988567082318</v>
      </c>
      <c r="AF42">
        <v>1</v>
      </c>
      <c r="AG42">
        <f t="shared" si="17"/>
        <v>1.1134964307967861</v>
      </c>
      <c r="AH42">
        <f t="shared" si="18"/>
        <v>1.0994814143798683</v>
      </c>
      <c r="AI42">
        <f t="shared" si="19"/>
        <v>1.0313191078377164</v>
      </c>
      <c r="AJ42">
        <v>1</v>
      </c>
      <c r="AK42">
        <f t="shared" si="23"/>
        <v>0.9994973034814485</v>
      </c>
      <c r="AL42">
        <f t="shared" si="24"/>
        <v>0.95479776017666884</v>
      </c>
      <c r="AM42">
        <f t="shared" si="25"/>
        <v>0.87512054837722397</v>
      </c>
      <c r="BJ42">
        <f t="shared" si="65"/>
        <v>1991</v>
      </c>
      <c r="BK42" s="15">
        <v>12599.548369464048</v>
      </c>
      <c r="BL42" s="15">
        <f>MECS_Annual_Fuel1!BJ42</f>
        <v>12599.548369464048</v>
      </c>
      <c r="BM42" s="15">
        <f t="shared" si="35"/>
        <v>19083.083999999999</v>
      </c>
      <c r="BN42" s="15">
        <f t="shared" si="36"/>
        <v>19083084</v>
      </c>
      <c r="CA42" t="str">
        <f t="shared" si="37"/>
        <v>324</v>
      </c>
      <c r="CB42" s="7">
        <f t="shared" si="38"/>
        <v>2519.6333802647096</v>
      </c>
      <c r="CC42" s="7">
        <f t="shared" si="39"/>
        <v>2850.2471338482869</v>
      </c>
      <c r="CD42" s="7">
        <f t="shared" si="40"/>
        <v>2753.6476622858058</v>
      </c>
      <c r="CE42" s="7">
        <f t="shared" si="41"/>
        <v>3018.3157833208888</v>
      </c>
      <c r="CF42" s="7">
        <f t="shared" si="42"/>
        <v>2965.3762841158969</v>
      </c>
      <c r="CG42" s="7">
        <f t="shared" si="43"/>
        <v>2981.7236021574176</v>
      </c>
      <c r="CH42" s="7">
        <f t="shared" si="44"/>
        <v>2884.3712617836486</v>
      </c>
      <c r="CI42" s="7">
        <f t="shared" si="45"/>
        <v>2978.6197025599158</v>
      </c>
      <c r="CJ42" s="7">
        <f t="shared" si="46"/>
        <v>2970.8276442091383</v>
      </c>
      <c r="CK42" s="7">
        <f t="shared" si="47"/>
        <v>3144.6947232151383</v>
      </c>
      <c r="CL42" s="7">
        <f t="shared" si="48"/>
        <v>3318.3953852069985</v>
      </c>
      <c r="CM42" s="7">
        <f t="shared" si="49"/>
        <v>3430.9762747528257</v>
      </c>
      <c r="CN42" s="7">
        <f t="shared" si="50"/>
        <v>3465.1910244853348</v>
      </c>
      <c r="CO42" s="7">
        <f t="shared" si="51"/>
        <v>3495.5546920000002</v>
      </c>
      <c r="CP42" s="7">
        <f t="shared" si="52"/>
        <v>3559.9686790500004</v>
      </c>
      <c r="CQ42" s="7">
        <f t="shared" si="53"/>
        <v>3613.8718330000002</v>
      </c>
      <c r="CR42" s="7">
        <f t="shared" si="54"/>
        <v>3494.7027549010036</v>
      </c>
      <c r="CS42" s="7">
        <f t="shared" si="55"/>
        <v>3075.1213680000001</v>
      </c>
      <c r="CT42" s="7">
        <f t="shared" si="56"/>
        <v>2986.514133005855</v>
      </c>
      <c r="CU42" s="7">
        <f t="shared" si="57"/>
        <v>3077.7580838021422</v>
      </c>
      <c r="CV42" s="7">
        <f t="shared" si="58"/>
        <v>3370.7901598183917</v>
      </c>
      <c r="CW42" s="7">
        <f t="shared" si="59"/>
        <v>3259.0627920000002</v>
      </c>
      <c r="CX42" s="7">
        <f t="shared" si="60"/>
        <v>3233.695904757873</v>
      </c>
      <c r="CY42" s="7">
        <f t="shared" si="61"/>
        <v>3327.9701282444062</v>
      </c>
      <c r="CZ42" s="7">
        <f t="shared" si="33"/>
        <v>3130.9523370717566</v>
      </c>
      <c r="DA42" s="7">
        <f t="shared" si="62"/>
        <v>3159</v>
      </c>
      <c r="DB42" s="7">
        <f t="shared" si="63"/>
        <v>3259.7653584959421</v>
      </c>
      <c r="DC42" s="7">
        <f t="shared" si="34"/>
        <v>3277.6362344421555</v>
      </c>
      <c r="DD42" s="7">
        <f t="shared" si="34"/>
        <v>3255.8559654963292</v>
      </c>
      <c r="DE42" s="7">
        <f t="shared" si="34"/>
        <v>3346</v>
      </c>
      <c r="DF42" s="7">
        <f t="shared" ref="DF42:DH42" si="71">AK57</f>
        <v>3331.2874631205109</v>
      </c>
      <c r="DG42" s="7">
        <f t="shared" si="71"/>
        <v>3306.4003398237573</v>
      </c>
      <c r="DH42" s="7">
        <f t="shared" si="71"/>
        <v>3535.4876338208101</v>
      </c>
      <c r="DI42" s="7"/>
      <c r="DJ42" s="7"/>
      <c r="DK42">
        <f t="shared" si="67"/>
        <v>1991</v>
      </c>
      <c r="DL42" s="44">
        <v>12599.548369464048</v>
      </c>
      <c r="DM42" s="44">
        <f>MER_Nov19_Table2.4!E55</f>
        <v>19083.083999999999</v>
      </c>
      <c r="DY42">
        <f t="shared" ref="DY42:DY47" si="72">DY41+1</f>
        <v>1987</v>
      </c>
      <c r="DZ42" s="49">
        <v>833.51038838632076</v>
      </c>
      <c r="EA42" s="49">
        <v>172.60133796131427</v>
      </c>
      <c r="EB42" s="49">
        <v>41.21594313846515</v>
      </c>
      <c r="EC42" s="49">
        <v>293.32052036990052</v>
      </c>
      <c r="ED42" s="49">
        <v>2039.394142819116</v>
      </c>
      <c r="EE42" s="49">
        <v>35.457031000499867</v>
      </c>
      <c r="EF42" s="49">
        <v>2753.6476622858058</v>
      </c>
      <c r="EG42" s="49">
        <v>2230.5058143667238</v>
      </c>
      <c r="EH42" s="49">
        <v>151.42293972634729</v>
      </c>
      <c r="EI42" s="49">
        <v>865.36110422201477</v>
      </c>
      <c r="EJ42" s="49">
        <v>1819.8952963174174</v>
      </c>
      <c r="EK42" s="49">
        <v>242.60813301921721</v>
      </c>
      <c r="EL42" s="49">
        <v>133.59407668064966</v>
      </c>
      <c r="EM42" s="49">
        <v>60.400035479019486</v>
      </c>
      <c r="EN42" s="49">
        <v>67.361584373291663</v>
      </c>
      <c r="EO42" s="49">
        <v>242.38099655777575</v>
      </c>
      <c r="EP42" s="49">
        <v>46.939987356383909</v>
      </c>
      <c r="EQ42" s="49">
        <v>43.311356676392833</v>
      </c>
    </row>
    <row r="43" spans="6:147" x14ac:dyDescent="0.2">
      <c r="F43" t="str">
        <f t="shared" si="2"/>
        <v>336</v>
      </c>
      <c r="G43">
        <f>1</f>
        <v>1</v>
      </c>
      <c r="H43" s="37">
        <f t="shared" si="21"/>
        <v>0.96679451329165722</v>
      </c>
      <c r="I43" s="37">
        <f t="shared" si="22"/>
        <v>0.96539309113340321</v>
      </c>
      <c r="J43">
        <v>1</v>
      </c>
      <c r="K43">
        <f t="shared" si="3"/>
        <v>0.99637638332522105</v>
      </c>
      <c r="L43">
        <f t="shared" si="4"/>
        <v>1.0105329063502133</v>
      </c>
      <c r="M43">
        <v>1</v>
      </c>
      <c r="N43">
        <f t="shared" si="26"/>
        <v>1.0108830362759544</v>
      </c>
      <c r="O43">
        <f t="shared" si="27"/>
        <v>1.0440880948551818</v>
      </c>
      <c r="P43">
        <v>1</v>
      </c>
      <c r="Q43">
        <f t="shared" si="5"/>
        <v>0.99914015632653763</v>
      </c>
      <c r="R43">
        <f t="shared" si="6"/>
        <v>0.97346823467650834</v>
      </c>
      <c r="S43">
        <f t="shared" si="7"/>
        <v>1.0526202954443458</v>
      </c>
      <c r="T43">
        <v>1</v>
      </c>
      <c r="U43">
        <f t="shared" si="28"/>
        <v>1.0216828003222373</v>
      </c>
      <c r="V43">
        <f t="shared" si="29"/>
        <v>1.0426088271620111</v>
      </c>
      <c r="W43">
        <f t="shared" si="10"/>
        <v>1.0506107303457661</v>
      </c>
      <c r="X43">
        <v>1</v>
      </c>
      <c r="Y43">
        <f t="shared" si="11"/>
        <v>0.96975130498241402</v>
      </c>
      <c r="Z43">
        <f t="shared" si="12"/>
        <v>1.0355503963821122</v>
      </c>
      <c r="AA43">
        <f t="shared" si="13"/>
        <v>1.044202268868645</v>
      </c>
      <c r="AB43">
        <v>1</v>
      </c>
      <c r="AC43">
        <f t="shared" si="14"/>
        <v>1.0431827602406269</v>
      </c>
      <c r="AD43">
        <f t="shared" si="15"/>
        <v>1.034718512267671</v>
      </c>
      <c r="AE43">
        <f t="shared" si="16"/>
        <v>0.82789682878088366</v>
      </c>
      <c r="AF43">
        <v>1</v>
      </c>
      <c r="AG43">
        <f t="shared" si="17"/>
        <v>1.0841074996499291</v>
      </c>
      <c r="AH43">
        <f t="shared" si="18"/>
        <v>1.039323288785631</v>
      </c>
      <c r="AI43">
        <f t="shared" si="19"/>
        <v>1.0056980944386154</v>
      </c>
      <c r="AJ43">
        <v>1</v>
      </c>
      <c r="AK43">
        <f t="shared" si="23"/>
        <v>1.0444457192170655</v>
      </c>
      <c r="AL43">
        <f t="shared" si="24"/>
        <v>1.0732417377839518</v>
      </c>
      <c r="AM43">
        <f t="shared" si="25"/>
        <v>1.0008634483965417</v>
      </c>
      <c r="BJ43">
        <f t="shared" si="65"/>
        <v>1992</v>
      </c>
      <c r="BK43" s="15">
        <v>13012.023322645411</v>
      </c>
      <c r="BL43" s="15">
        <f>MECS_Annual_Fuel1!BJ43</f>
        <v>12897.065482770506</v>
      </c>
      <c r="BM43" s="15">
        <f t="shared" si="35"/>
        <v>19961.138999999999</v>
      </c>
      <c r="BN43" s="15">
        <f t="shared" si="36"/>
        <v>19961139</v>
      </c>
      <c r="CA43" t="str">
        <f t="shared" si="37"/>
        <v>325</v>
      </c>
      <c r="CB43" s="7">
        <f t="shared" si="38"/>
        <v>1982.3306729500532</v>
      </c>
      <c r="CC43" s="7">
        <f t="shared" si="39"/>
        <v>2015.168144981348</v>
      </c>
      <c r="CD43" s="7">
        <f t="shared" si="40"/>
        <v>2230.5058143667238</v>
      </c>
      <c r="CE43" s="7">
        <f t="shared" si="41"/>
        <v>2425.2974275342949</v>
      </c>
      <c r="CF43" s="7">
        <f t="shared" si="42"/>
        <v>2521.8421868716355</v>
      </c>
      <c r="CG43" s="7">
        <f t="shared" si="43"/>
        <v>2717.7721792901602</v>
      </c>
      <c r="CH43" s="7">
        <f t="shared" si="44"/>
        <v>2577.2858974832011</v>
      </c>
      <c r="CI43" s="7">
        <f t="shared" si="45"/>
        <v>2624.9869434256652</v>
      </c>
      <c r="CJ43" s="7">
        <f t="shared" si="46"/>
        <v>2667.9116101083255</v>
      </c>
      <c r="CK43" s="7">
        <f t="shared" si="47"/>
        <v>2729.1714558311169</v>
      </c>
      <c r="CL43" s="7">
        <f t="shared" si="48"/>
        <v>2808.3801069250053</v>
      </c>
      <c r="CM43" s="7">
        <f t="shared" si="49"/>
        <v>3060.7601437574108</v>
      </c>
      <c r="CN43" s="7">
        <f t="shared" si="50"/>
        <v>3103.9541409155927</v>
      </c>
      <c r="CO43" s="7">
        <f t="shared" si="51"/>
        <v>3126.5770039999998</v>
      </c>
      <c r="CP43" s="7">
        <f t="shared" si="52"/>
        <v>3311.1447124275678</v>
      </c>
      <c r="CQ43" s="7">
        <f t="shared" si="53"/>
        <v>3451.1731051817164</v>
      </c>
      <c r="CR43" s="7">
        <f t="shared" si="54"/>
        <v>3269.7219092965011</v>
      </c>
      <c r="CS43" s="7">
        <f t="shared" si="55"/>
        <v>3246.609152</v>
      </c>
      <c r="CT43" s="7">
        <f t="shared" si="56"/>
        <v>3278.8496369605023</v>
      </c>
      <c r="CU43" s="7">
        <f t="shared" si="57"/>
        <v>3050.2080438901307</v>
      </c>
      <c r="CV43" s="7">
        <f t="shared" si="58"/>
        <v>2799.0993758095683</v>
      </c>
      <c r="CW43" s="7">
        <f t="shared" si="59"/>
        <v>2677.7578599999997</v>
      </c>
      <c r="CX43" s="7">
        <f t="shared" si="60"/>
        <v>2824.531653445953</v>
      </c>
      <c r="CY43" s="7">
        <f t="shared" si="61"/>
        <v>2808.6503129524704</v>
      </c>
      <c r="CZ43" s="7">
        <f t="shared" si="33"/>
        <v>2507.0190933838858</v>
      </c>
      <c r="DA43" s="7">
        <f t="shared" si="62"/>
        <v>2772</v>
      </c>
      <c r="DB43" s="7">
        <f t="shared" si="63"/>
        <v>2941.6767618815675</v>
      </c>
      <c r="DC43" s="7">
        <f t="shared" si="34"/>
        <v>3059.4548171952733</v>
      </c>
      <c r="DD43" s="7">
        <f t="shared" si="34"/>
        <v>3057.0989274103763</v>
      </c>
      <c r="DE43" s="7">
        <f t="shared" si="34"/>
        <v>3069</v>
      </c>
      <c r="DF43" s="7">
        <f t="shared" ref="DF43:DH43" si="73">AK58</f>
        <v>3048.5593485076511</v>
      </c>
      <c r="DG43" s="7">
        <f t="shared" si="73"/>
        <v>2898.1657328715528</v>
      </c>
      <c r="DH43" s="7">
        <f t="shared" si="73"/>
        <v>2960.8493024765744</v>
      </c>
      <c r="DI43" s="7"/>
      <c r="DJ43" s="7"/>
      <c r="DK43">
        <f t="shared" si="67"/>
        <v>1992</v>
      </c>
      <c r="DL43" s="44">
        <v>12996.418569503452</v>
      </c>
      <c r="DM43" s="44">
        <f>MER_Nov19_Table2.4!E56</f>
        <v>19961.138999999999</v>
      </c>
      <c r="DY43">
        <f t="shared" si="72"/>
        <v>1988</v>
      </c>
      <c r="DZ43" s="49">
        <v>851.12053122624513</v>
      </c>
      <c r="EA43" s="49">
        <v>168.48905994885055</v>
      </c>
      <c r="EB43" s="49">
        <v>46.203934666809843</v>
      </c>
      <c r="EC43" s="49">
        <v>302.60197307912358</v>
      </c>
      <c r="ED43" s="49">
        <v>2153.9562641132611</v>
      </c>
      <c r="EE43" s="49">
        <v>40.089746346787351</v>
      </c>
      <c r="EF43" s="49">
        <v>3018.3157833208888</v>
      </c>
      <c r="EG43" s="49">
        <v>2425.2974275342949</v>
      </c>
      <c r="EH43" s="49">
        <v>150.36582650079393</v>
      </c>
      <c r="EI43" s="49">
        <v>884.64406029384702</v>
      </c>
      <c r="EJ43" s="49">
        <v>2134.8918237453663</v>
      </c>
      <c r="EK43" s="49">
        <v>251.14969713900282</v>
      </c>
      <c r="EL43" s="49">
        <v>138.88393804304263</v>
      </c>
      <c r="EM43" s="49">
        <v>62.693189717341816</v>
      </c>
      <c r="EN43" s="49">
        <v>64.55717435203718</v>
      </c>
      <c r="EO43" s="49">
        <v>254.78050349600764</v>
      </c>
      <c r="EP43" s="49">
        <v>48.640156995919362</v>
      </c>
      <c r="EQ43" s="49">
        <v>45.434393503358493</v>
      </c>
    </row>
    <row r="44" spans="6:147" x14ac:dyDescent="0.2">
      <c r="F44" t="str">
        <f t="shared" si="2"/>
        <v>337</v>
      </c>
      <c r="G44">
        <f>1</f>
        <v>1</v>
      </c>
      <c r="H44" s="37">
        <f t="shared" si="21"/>
        <v>0.91107066235625822</v>
      </c>
      <c r="I44" s="37">
        <f t="shared" si="22"/>
        <v>0.98240229415217162</v>
      </c>
      <c r="J44">
        <v>1</v>
      </c>
      <c r="K44">
        <f t="shared" si="3"/>
        <v>1.0166079030771749</v>
      </c>
      <c r="L44">
        <f t="shared" si="4"/>
        <v>1.0136451287598518</v>
      </c>
      <c r="M44">
        <v>1</v>
      </c>
      <c r="N44">
        <f t="shared" si="26"/>
        <v>1.0105269333294222</v>
      </c>
      <c r="O44">
        <f t="shared" si="27"/>
        <v>1.0679142401805131</v>
      </c>
      <c r="P44">
        <v>1</v>
      </c>
      <c r="Q44">
        <f t="shared" si="5"/>
        <v>0.99667512095717803</v>
      </c>
      <c r="R44">
        <f t="shared" si="6"/>
        <v>0.96482300911853724</v>
      </c>
      <c r="S44">
        <f t="shared" si="7"/>
        <v>1.0321818162659337</v>
      </c>
      <c r="T44">
        <v>1</v>
      </c>
      <c r="U44">
        <f t="shared" si="28"/>
        <v>1.0020935791953327</v>
      </c>
      <c r="V44">
        <f t="shared" si="29"/>
        <v>1.0602466673175641</v>
      </c>
      <c r="W44">
        <f t="shared" si="10"/>
        <v>1.0109250494432729</v>
      </c>
      <c r="X44">
        <v>1</v>
      </c>
      <c r="Y44">
        <f t="shared" si="11"/>
        <v>0.96870936683105169</v>
      </c>
      <c r="Z44">
        <f t="shared" si="12"/>
        <v>1.1170622538272252</v>
      </c>
      <c r="AA44">
        <f t="shared" si="13"/>
        <v>1.0650390334513844</v>
      </c>
      <c r="AB44">
        <v>1</v>
      </c>
      <c r="AC44">
        <f t="shared" si="14"/>
        <v>1.003191575726696</v>
      </c>
      <c r="AD44">
        <f t="shared" si="15"/>
        <v>1.0627520336234153</v>
      </c>
      <c r="AE44">
        <f t="shared" si="16"/>
        <v>0.88810874860972044</v>
      </c>
      <c r="AF44">
        <v>1</v>
      </c>
      <c r="AG44">
        <f t="shared" si="17"/>
        <v>0.98923105072478923</v>
      </c>
      <c r="AH44">
        <f t="shared" si="18"/>
        <v>0.92884892123571317</v>
      </c>
      <c r="AI44">
        <f t="shared" si="19"/>
        <v>0.98546936677364672</v>
      </c>
      <c r="AJ44">
        <v>1</v>
      </c>
      <c r="AK44">
        <f t="shared" si="23"/>
        <v>1.0290788532512021</v>
      </c>
      <c r="AL44">
        <f t="shared" si="24"/>
        <v>1.0576912541037278</v>
      </c>
      <c r="AM44">
        <f t="shared" si="25"/>
        <v>0.97295208240825071</v>
      </c>
      <c r="BJ44">
        <f t="shared" si="65"/>
        <v>1993</v>
      </c>
      <c r="BK44" s="15">
        <v>13404.523508348133</v>
      </c>
      <c r="BL44" s="15">
        <f>MECS_Annual_Fuel1!BJ44</f>
        <v>13805.083603961704</v>
      </c>
      <c r="BM44" s="15">
        <f t="shared" si="35"/>
        <v>19910.925999999999</v>
      </c>
      <c r="BN44" s="15">
        <f t="shared" si="36"/>
        <v>19910926</v>
      </c>
      <c r="CA44" t="str">
        <f t="shared" si="37"/>
        <v>326</v>
      </c>
      <c r="CB44" s="7">
        <f t="shared" si="38"/>
        <v>128.43055874180072</v>
      </c>
      <c r="CC44" s="7">
        <f t="shared" si="39"/>
        <v>133.84760516468384</v>
      </c>
      <c r="CD44" s="7">
        <f t="shared" si="40"/>
        <v>142.45155951341272</v>
      </c>
      <c r="CE44" s="7">
        <f t="shared" si="41"/>
        <v>150.36582650079393</v>
      </c>
      <c r="CF44" s="7">
        <f t="shared" si="42"/>
        <v>143.26385529558047</v>
      </c>
      <c r="CG44" s="7">
        <f t="shared" si="43"/>
        <v>139.2957383287027</v>
      </c>
      <c r="CH44" s="7">
        <f t="shared" si="44"/>
        <v>125.61488437265322</v>
      </c>
      <c r="CI44" s="7">
        <f t="shared" si="45"/>
        <v>132.92807190666201</v>
      </c>
      <c r="CJ44" s="7">
        <f t="shared" si="46"/>
        <v>145.81861444258848</v>
      </c>
      <c r="CK44" s="7">
        <f t="shared" si="47"/>
        <v>141.58522460569185</v>
      </c>
      <c r="CL44" s="7">
        <f t="shared" si="48"/>
        <v>143.24858507275479</v>
      </c>
      <c r="CM44" s="7">
        <f t="shared" si="49"/>
        <v>149.70713400867646</v>
      </c>
      <c r="CN44" s="7">
        <f t="shared" si="50"/>
        <v>148.05203066926589</v>
      </c>
      <c r="CO44" s="7">
        <f t="shared" si="51"/>
        <v>144.39999600000002</v>
      </c>
      <c r="CP44" s="7">
        <f t="shared" si="52"/>
        <v>155.50931366664574</v>
      </c>
      <c r="CQ44" s="7">
        <f t="shared" si="53"/>
        <v>163.26045037942168</v>
      </c>
      <c r="CR44" s="7">
        <f t="shared" si="54"/>
        <v>167.35416280827747</v>
      </c>
      <c r="CS44" s="7">
        <f t="shared" si="55"/>
        <v>166.54642800000002</v>
      </c>
      <c r="CT44" s="7">
        <f t="shared" si="56"/>
        <v>160.20750099399646</v>
      </c>
      <c r="CU44" s="7">
        <f t="shared" si="57"/>
        <v>171.5044087336351</v>
      </c>
      <c r="CV44" s="7">
        <f t="shared" si="58"/>
        <v>166.09623462999605</v>
      </c>
      <c r="CW44" s="7">
        <f t="shared" si="59"/>
        <v>153.785552</v>
      </c>
      <c r="CX44" s="7">
        <f t="shared" si="60"/>
        <v>144.06196000379629</v>
      </c>
      <c r="CY44" s="7">
        <f t="shared" si="61"/>
        <v>137.64430205404923</v>
      </c>
      <c r="CZ44" s="7">
        <f t="shared" si="33"/>
        <v>111.94272030024273</v>
      </c>
      <c r="DA44" s="7">
        <f t="shared" si="62"/>
        <v>116</v>
      </c>
      <c r="DB44" s="7">
        <f t="shared" si="63"/>
        <v>114.5728873428538</v>
      </c>
      <c r="DC44" s="7">
        <f t="shared" si="34"/>
        <v>112.09663444240343</v>
      </c>
      <c r="DD44" s="7">
        <f t="shared" si="34"/>
        <v>108.59187483607725</v>
      </c>
      <c r="DE44" s="7">
        <f t="shared" si="34"/>
        <v>104</v>
      </c>
      <c r="DF44" s="7">
        <f t="shared" ref="DF44:DH44" si="74">AK59</f>
        <v>105.54109379227963</v>
      </c>
      <c r="DG44" s="7">
        <f t="shared" si="74"/>
        <v>104.54255135676441</v>
      </c>
      <c r="DH44" s="7">
        <f t="shared" si="74"/>
        <v>97.83997289750954</v>
      </c>
      <c r="DI44" s="7"/>
      <c r="DJ44" s="7"/>
      <c r="DK44">
        <f t="shared" si="67"/>
        <v>1993</v>
      </c>
      <c r="DL44" s="44">
        <v>13376.494235228505</v>
      </c>
      <c r="DM44" s="44">
        <f>MER_Nov19_Table2.4!E57</f>
        <v>19910.925999999999</v>
      </c>
      <c r="DY44">
        <f t="shared" si="72"/>
        <v>1989</v>
      </c>
      <c r="DZ44" s="49">
        <v>851.8988327684732</v>
      </c>
      <c r="EA44" s="49">
        <v>167.44427557233792</v>
      </c>
      <c r="EB44" s="49">
        <v>38.72494633334945</v>
      </c>
      <c r="EC44" s="49">
        <v>314.98874210000514</v>
      </c>
      <c r="ED44" s="49">
        <v>2186.1253063093668</v>
      </c>
      <c r="EE44" s="49">
        <v>41.243633713675202</v>
      </c>
      <c r="EF44" s="49">
        <v>2965.3762841158969</v>
      </c>
      <c r="EG44" s="49">
        <v>2521.8421868716355</v>
      </c>
      <c r="EH44" s="49">
        <v>156.13332627095838</v>
      </c>
      <c r="EI44" s="49">
        <v>872.26871686531888</v>
      </c>
      <c r="EJ44" s="49">
        <v>2135.9489196898717</v>
      </c>
      <c r="EK44" s="49">
        <v>241.61252681571094</v>
      </c>
      <c r="EL44" s="49">
        <v>135.84765730352257</v>
      </c>
      <c r="EM44" s="49">
        <v>62.697248115282292</v>
      </c>
      <c r="EN44" s="49">
        <v>64.994227835018435</v>
      </c>
      <c r="EO44" s="49">
        <v>251.14742131079424</v>
      </c>
      <c r="EP44" s="49">
        <v>54.790411286187279</v>
      </c>
      <c r="EQ44" s="49">
        <v>41.18066817037402</v>
      </c>
    </row>
    <row r="45" spans="6:147" x14ac:dyDescent="0.2">
      <c r="F45" t="str">
        <f t="shared" si="2"/>
        <v>339</v>
      </c>
      <c r="G45">
        <f>1</f>
        <v>1</v>
      </c>
      <c r="H45" s="37">
        <f t="shared" si="21"/>
        <v>0.90747507219973289</v>
      </c>
      <c r="I45" s="37">
        <f t="shared" si="22"/>
        <v>1.0632438510756947</v>
      </c>
      <c r="J45">
        <v>1</v>
      </c>
      <c r="K45">
        <f t="shared" si="3"/>
        <v>1.0122708850567748</v>
      </c>
      <c r="L45">
        <f t="shared" si="4"/>
        <v>1.0903375546943581</v>
      </c>
      <c r="M45">
        <v>1</v>
      </c>
      <c r="N45">
        <f t="shared" si="26"/>
        <v>0.9817560040743365</v>
      </c>
      <c r="O45">
        <f t="shared" si="27"/>
        <v>1.0236461549508149</v>
      </c>
      <c r="P45">
        <v>1</v>
      </c>
      <c r="Q45">
        <f t="shared" si="5"/>
        <v>1.0333542056960021</v>
      </c>
      <c r="R45">
        <f t="shared" si="6"/>
        <v>1.0117536234665032</v>
      </c>
      <c r="S45">
        <f t="shared" si="7"/>
        <v>1.0070574996358075</v>
      </c>
      <c r="T45">
        <v>1</v>
      </c>
      <c r="U45">
        <f t="shared" si="28"/>
        <v>0.98808000102275628</v>
      </c>
      <c r="V45">
        <f t="shared" si="29"/>
        <v>1.0362127310781297</v>
      </c>
      <c r="W45">
        <f t="shared" si="10"/>
        <v>1.0580684739014543</v>
      </c>
      <c r="X45">
        <v>1</v>
      </c>
      <c r="Y45">
        <f t="shared" si="11"/>
        <v>0.97733183583288474</v>
      </c>
      <c r="Z45">
        <f t="shared" si="12"/>
        <v>1.1064485846820504</v>
      </c>
      <c r="AA45">
        <f t="shared" si="13"/>
        <v>1.0688163642453703</v>
      </c>
      <c r="AB45">
        <v>1</v>
      </c>
      <c r="AC45">
        <f t="shared" si="14"/>
        <v>0.95594600224809001</v>
      </c>
      <c r="AD45">
        <f t="shared" si="15"/>
        <v>0.99666680704433686</v>
      </c>
      <c r="AE45">
        <f t="shared" si="16"/>
        <v>0.91974752288434558</v>
      </c>
      <c r="AF45">
        <v>1</v>
      </c>
      <c r="AG45">
        <f t="shared" si="17"/>
        <v>1.0492547277895399</v>
      </c>
      <c r="AH45">
        <f t="shared" si="18"/>
        <v>0.93692963280347219</v>
      </c>
      <c r="AI45">
        <f t="shared" si="19"/>
        <v>1.0134157120925937</v>
      </c>
      <c r="AJ45">
        <v>1</v>
      </c>
      <c r="AK45">
        <f t="shared" si="23"/>
        <v>1.0447082513107839</v>
      </c>
      <c r="AL45">
        <f t="shared" si="24"/>
        <v>1.0325855328912639</v>
      </c>
      <c r="AM45">
        <f t="shared" si="25"/>
        <v>0.88000722018129973</v>
      </c>
      <c r="BJ45">
        <f t="shared" si="65"/>
        <v>1994</v>
      </c>
      <c r="BK45" s="15">
        <v>13805.955934019132</v>
      </c>
      <c r="BL45" s="15">
        <f>MECS_Annual_Fuel1!BJ45</f>
        <v>13805.955934019132</v>
      </c>
      <c r="BM45" s="15">
        <f t="shared" si="35"/>
        <v>20406.143</v>
      </c>
      <c r="BN45" s="15">
        <f t="shared" si="36"/>
        <v>20406143</v>
      </c>
      <c r="CA45" t="str">
        <f t="shared" si="37"/>
        <v>327</v>
      </c>
      <c r="CB45" s="7">
        <f t="shared" si="38"/>
        <v>791.01545520082436</v>
      </c>
      <c r="CC45" s="7">
        <f t="shared" si="39"/>
        <v>820.21574298373901</v>
      </c>
      <c r="CD45" s="7">
        <f t="shared" si="40"/>
        <v>864.25272072090831</v>
      </c>
      <c r="CE45" s="7">
        <f t="shared" si="41"/>
        <v>884.64406029384702</v>
      </c>
      <c r="CF45" s="7">
        <f t="shared" si="42"/>
        <v>846.73924465666107</v>
      </c>
      <c r="CG45" s="7">
        <f t="shared" si="43"/>
        <v>824.6232998599811</v>
      </c>
      <c r="CH45" s="7">
        <f t="shared" si="44"/>
        <v>788.81428212035598</v>
      </c>
      <c r="CI45" s="7">
        <f t="shared" si="45"/>
        <v>806.45298986375963</v>
      </c>
      <c r="CJ45" s="7">
        <f t="shared" si="46"/>
        <v>829.45911055591841</v>
      </c>
      <c r="CK45" s="7">
        <f t="shared" si="47"/>
        <v>822.05619657793363</v>
      </c>
      <c r="CL45" s="7">
        <f t="shared" si="48"/>
        <v>831.4492867887202</v>
      </c>
      <c r="CM45" s="7">
        <f t="shared" si="49"/>
        <v>839.46261031731456</v>
      </c>
      <c r="CN45" s="7">
        <f t="shared" si="50"/>
        <v>830.41398281608042</v>
      </c>
      <c r="CO45" s="7">
        <f t="shared" si="51"/>
        <v>834.98687599999994</v>
      </c>
      <c r="CP45" s="7">
        <f t="shared" si="52"/>
        <v>877.55768478053301</v>
      </c>
      <c r="CQ45" s="7">
        <f t="shared" si="53"/>
        <v>904.78331395435282</v>
      </c>
      <c r="CR45" s="7">
        <f t="shared" si="54"/>
        <v>911.66886900924635</v>
      </c>
      <c r="CS45" s="7">
        <f t="shared" si="55"/>
        <v>910.76708400000007</v>
      </c>
      <c r="CT45" s="7">
        <f t="shared" si="56"/>
        <v>896.47929577392085</v>
      </c>
      <c r="CU45" s="7">
        <f t="shared" si="57"/>
        <v>956.78605808910106</v>
      </c>
      <c r="CV45" s="7">
        <f t="shared" si="58"/>
        <v>979.05222277425401</v>
      </c>
      <c r="CW45" s="7">
        <f t="shared" si="59"/>
        <v>958.36588800000004</v>
      </c>
      <c r="CX45" s="7">
        <f t="shared" si="60"/>
        <v>918.94302467011028</v>
      </c>
      <c r="CY45" s="7">
        <f t="shared" si="61"/>
        <v>832.01834698945288</v>
      </c>
      <c r="CZ45" s="7">
        <f t="shared" si="33"/>
        <v>622.95141825905012</v>
      </c>
      <c r="DA45" s="7">
        <f t="shared" si="62"/>
        <v>600</v>
      </c>
      <c r="DB45" s="7">
        <f t="shared" si="63"/>
        <v>623.89463196506142</v>
      </c>
      <c r="DC45" s="7">
        <f t="shared" si="34"/>
        <v>644.7772659842351</v>
      </c>
      <c r="DD45" s="7">
        <f t="shared" si="34"/>
        <v>663.64463007587403</v>
      </c>
      <c r="DE45" s="7">
        <f t="shared" si="34"/>
        <v>699</v>
      </c>
      <c r="DF45" s="7">
        <f t="shared" ref="DF45:DH45" si="75">AK60</f>
        <v>720.05891819172143</v>
      </c>
      <c r="DG45" s="7">
        <f t="shared" si="75"/>
        <v>723.78533975302594</v>
      </c>
      <c r="DH45" s="7">
        <f t="shared" si="75"/>
        <v>713.76155007544855</v>
      </c>
      <c r="DI45" s="7"/>
      <c r="DJ45" s="7"/>
      <c r="DK45">
        <f t="shared" si="67"/>
        <v>1994</v>
      </c>
      <c r="DL45" s="44">
        <v>13805.955934019132</v>
      </c>
      <c r="DM45" s="44">
        <f>MER_Nov19_Table2.4!E58</f>
        <v>20406.143</v>
      </c>
      <c r="DY45">
        <f t="shared" si="72"/>
        <v>1990</v>
      </c>
      <c r="DZ45" s="49">
        <v>801.85853040559095</v>
      </c>
      <c r="EA45" s="49">
        <v>155.89053627343949</v>
      </c>
      <c r="EB45" s="49">
        <v>34.234269572907131</v>
      </c>
      <c r="EC45" s="49">
        <v>317.55370658139748</v>
      </c>
      <c r="ED45" s="49">
        <v>2232.4561523667417</v>
      </c>
      <c r="EE45" s="49">
        <v>40.250360783695889</v>
      </c>
      <c r="EF45" s="49">
        <v>2981.7236021574176</v>
      </c>
      <c r="EG45" s="49">
        <v>2717.7721792901602</v>
      </c>
      <c r="EH45" s="49">
        <v>135.02276624658089</v>
      </c>
      <c r="EI45" s="49">
        <v>839.79715936733282</v>
      </c>
      <c r="EJ45" s="49">
        <v>2058.910056035751</v>
      </c>
      <c r="EK45" s="49">
        <v>222.61909858361435</v>
      </c>
      <c r="EL45" s="49">
        <v>120.63206911012374</v>
      </c>
      <c r="EM45" s="49">
        <v>58.165999612572094</v>
      </c>
      <c r="EN45" s="49">
        <v>57.975944538459906</v>
      </c>
      <c r="EO45" s="49">
        <v>237.32816845389928</v>
      </c>
      <c r="EP45" s="49">
        <v>52.543324444208949</v>
      </c>
      <c r="EQ45" s="49">
        <v>38.691516089207084</v>
      </c>
    </row>
    <row r="46" spans="6:147" x14ac:dyDescent="0.2">
      <c r="M46">
        <v>1</v>
      </c>
      <c r="N46">
        <f>P24/(AVERAGE(O24,R24))</f>
        <v>0.90909090909090906</v>
      </c>
      <c r="O46">
        <f>Q24/(AVERAGE(O24,R24))</f>
        <v>1.0909090909090908</v>
      </c>
      <c r="P46">
        <v>1</v>
      </c>
      <c r="AO46" s="46" t="s">
        <v>158</v>
      </c>
      <c r="AY46" t="s">
        <v>136</v>
      </c>
      <c r="BJ46">
        <f t="shared" si="65"/>
        <v>1995</v>
      </c>
      <c r="BK46" s="15">
        <v>14156.850042956279</v>
      </c>
      <c r="BL46" s="15">
        <f>MECS_Annual_Fuel1!BJ46</f>
        <v>14100.248987193518</v>
      </c>
      <c r="BM46" s="15">
        <f t="shared" si="35"/>
        <v>20664.989000000001</v>
      </c>
      <c r="BN46" s="15">
        <f t="shared" si="36"/>
        <v>20664989</v>
      </c>
      <c r="CA46" t="str">
        <f t="shared" si="37"/>
        <v>331</v>
      </c>
      <c r="CB46" s="7">
        <f t="shared" si="38"/>
        <v>1931.5726855408925</v>
      </c>
      <c r="CC46" s="7">
        <f t="shared" si="39"/>
        <v>1805.7802120918529</v>
      </c>
      <c r="CD46" s="7">
        <f t="shared" si="40"/>
        <v>1867.1971255253011</v>
      </c>
      <c r="CE46" s="7">
        <f t="shared" si="41"/>
        <v>2134.8918237453663</v>
      </c>
      <c r="CF46" s="7">
        <f t="shared" si="42"/>
        <v>2012.8905561212518</v>
      </c>
      <c r="CG46" s="7">
        <f t="shared" si="43"/>
        <v>1909.4588165863522</v>
      </c>
      <c r="CH46" s="7">
        <f t="shared" si="44"/>
        <v>1811.54797443144</v>
      </c>
      <c r="CI46" s="7">
        <f t="shared" si="45"/>
        <v>1889.6726423006169</v>
      </c>
      <c r="CJ46" s="7">
        <f t="shared" si="46"/>
        <v>1940.9642984314207</v>
      </c>
      <c r="CK46" s="7">
        <f t="shared" si="47"/>
        <v>2096.657607556745</v>
      </c>
      <c r="CL46" s="7">
        <f t="shared" si="48"/>
        <v>2090.3737186035291</v>
      </c>
      <c r="CM46" s="7">
        <f t="shared" si="49"/>
        <v>2151.9544910492323</v>
      </c>
      <c r="CN46" s="7">
        <f t="shared" si="50"/>
        <v>2049.7360864321095</v>
      </c>
      <c r="CO46" s="7">
        <f t="shared" si="51"/>
        <v>2031.356088</v>
      </c>
      <c r="CP46" s="7">
        <f t="shared" si="52"/>
        <v>1979.0971174863726</v>
      </c>
      <c r="CQ46" s="7">
        <f t="shared" si="53"/>
        <v>1913.347390803626</v>
      </c>
      <c r="CR46" s="7">
        <f t="shared" si="54"/>
        <v>1637.7794846195036</v>
      </c>
      <c r="CS46" s="7">
        <f t="shared" si="55"/>
        <v>1629.9591760000001</v>
      </c>
      <c r="CT46" s="7">
        <f t="shared" si="56"/>
        <v>1474.9035192685992</v>
      </c>
      <c r="CU46" s="7">
        <f t="shared" si="57"/>
        <v>1433.4622576077199</v>
      </c>
      <c r="CV46" s="7">
        <f t="shared" si="58"/>
        <v>1406.9952406132331</v>
      </c>
      <c r="CW46" s="7">
        <f t="shared" si="59"/>
        <v>1285.6831</v>
      </c>
      <c r="CX46" s="7">
        <f t="shared" si="60"/>
        <v>1375.7207200545015</v>
      </c>
      <c r="CY46" s="7">
        <f t="shared" si="61"/>
        <v>1420.8650091404038</v>
      </c>
      <c r="CZ46" s="7">
        <f t="shared" si="33"/>
        <v>1083.9834985167681</v>
      </c>
      <c r="DA46" s="7">
        <f t="shared" si="62"/>
        <v>1255</v>
      </c>
      <c r="DB46" s="7">
        <f t="shared" si="63"/>
        <v>1445.9799984999161</v>
      </c>
      <c r="DC46" s="7">
        <f t="shared" si="34"/>
        <v>1408.1293295618261</v>
      </c>
      <c r="DD46" s="7">
        <f t="shared" si="34"/>
        <v>1292.5838548497866</v>
      </c>
      <c r="DE46" s="7">
        <f t="shared" si="34"/>
        <v>1251</v>
      </c>
      <c r="DF46" s="7">
        <f t="shared" ref="DF46:DH46" si="76">AK61</f>
        <v>1224.0493553581957</v>
      </c>
      <c r="DG46" s="7">
        <f t="shared" si="76"/>
        <v>1025.5862107176526</v>
      </c>
      <c r="DH46" s="7">
        <f t="shared" si="76"/>
        <v>1023.2703637598183</v>
      </c>
      <c r="DI46" s="7"/>
      <c r="DJ46" s="7"/>
      <c r="DK46">
        <f t="shared" si="67"/>
        <v>1995</v>
      </c>
      <c r="DL46" s="44">
        <v>14211.777729152858</v>
      </c>
      <c r="DM46" s="44">
        <f>MER_Nov19_Table2.4!E59</f>
        <v>20664.989000000001</v>
      </c>
      <c r="DY46">
        <f t="shared" si="72"/>
        <v>1991</v>
      </c>
      <c r="DZ46" s="49">
        <v>809.67414956814787</v>
      </c>
      <c r="EA46" s="49">
        <v>167.22964134569051</v>
      </c>
      <c r="EB46" s="49">
        <v>36.963147733447869</v>
      </c>
      <c r="EC46" s="49">
        <v>314.83245355703338</v>
      </c>
      <c r="ED46" s="49">
        <v>2267.2367478194155</v>
      </c>
      <c r="EE46" s="49">
        <v>38.576483481067747</v>
      </c>
      <c r="EF46" s="49">
        <v>2884.3712617836486</v>
      </c>
      <c r="EG46" s="49">
        <v>2577.2858974832011</v>
      </c>
      <c r="EH46" s="49">
        <v>125.61488437265322</v>
      </c>
      <c r="EI46" s="49">
        <v>788.81428212035598</v>
      </c>
      <c r="EJ46" s="49">
        <v>1811.54797443144</v>
      </c>
      <c r="EK46" s="49">
        <v>217.28105279356296</v>
      </c>
      <c r="EL46" s="49">
        <v>113.47965946591772</v>
      </c>
      <c r="EM46" s="49">
        <v>56.220714404637988</v>
      </c>
      <c r="EN46" s="49">
        <v>55.611292613491038</v>
      </c>
      <c r="EO46" s="49">
        <v>244.13057132985355</v>
      </c>
      <c r="EP46" s="49">
        <v>55.8843501953478</v>
      </c>
      <c r="EQ46" s="49">
        <v>34.793804965135031</v>
      </c>
    </row>
    <row r="47" spans="6:147" x14ac:dyDescent="0.2">
      <c r="G47">
        <v>1985</v>
      </c>
      <c r="H47" s="31">
        <f t="shared" ref="H47:AD47" si="77">G47+1</f>
        <v>1986</v>
      </c>
      <c r="I47" s="31">
        <f t="shared" si="77"/>
        <v>1987</v>
      </c>
      <c r="J47" s="31">
        <f t="shared" si="77"/>
        <v>1988</v>
      </c>
      <c r="K47" s="31">
        <f t="shared" si="77"/>
        <v>1989</v>
      </c>
      <c r="L47" s="31">
        <f t="shared" si="77"/>
        <v>1990</v>
      </c>
      <c r="M47" s="31">
        <f t="shared" si="77"/>
        <v>1991</v>
      </c>
      <c r="N47" s="31">
        <f t="shared" si="77"/>
        <v>1992</v>
      </c>
      <c r="O47" s="31">
        <f t="shared" si="77"/>
        <v>1993</v>
      </c>
      <c r="P47" s="31">
        <f t="shared" si="77"/>
        <v>1994</v>
      </c>
      <c r="Q47" s="31">
        <f t="shared" si="77"/>
        <v>1995</v>
      </c>
      <c r="R47" s="31">
        <f t="shared" si="77"/>
        <v>1996</v>
      </c>
      <c r="S47" s="31">
        <f t="shared" si="77"/>
        <v>1997</v>
      </c>
      <c r="T47" s="31">
        <f t="shared" si="77"/>
        <v>1998</v>
      </c>
      <c r="U47" s="31">
        <f t="shared" si="77"/>
        <v>1999</v>
      </c>
      <c r="V47" s="31">
        <f t="shared" si="77"/>
        <v>2000</v>
      </c>
      <c r="W47" s="31">
        <f t="shared" si="77"/>
        <v>2001</v>
      </c>
      <c r="X47" s="31">
        <f t="shared" si="77"/>
        <v>2002</v>
      </c>
      <c r="Y47" s="31">
        <f t="shared" si="77"/>
        <v>2003</v>
      </c>
      <c r="Z47" s="31">
        <f t="shared" si="77"/>
        <v>2004</v>
      </c>
      <c r="AA47" s="31">
        <f t="shared" si="77"/>
        <v>2005</v>
      </c>
      <c r="AB47" s="31">
        <f t="shared" si="77"/>
        <v>2006</v>
      </c>
      <c r="AC47" s="31">
        <f t="shared" si="77"/>
        <v>2007</v>
      </c>
      <c r="AD47" s="31">
        <f t="shared" si="77"/>
        <v>2008</v>
      </c>
      <c r="AE47" s="31">
        <f>AD47+1</f>
        <v>2009</v>
      </c>
      <c r="AF47" s="31">
        <f>AE47+1</f>
        <v>2010</v>
      </c>
      <c r="AG47" s="31">
        <f>AF47+1</f>
        <v>2011</v>
      </c>
      <c r="AH47" s="31"/>
      <c r="AI47" s="31"/>
      <c r="AJ47" s="31"/>
      <c r="AK47" s="31"/>
      <c r="AL47" s="31"/>
      <c r="AM47" s="31"/>
      <c r="BJ47">
        <f t="shared" si="65"/>
        <v>1996</v>
      </c>
      <c r="BK47" s="15">
        <v>14557.42477201747</v>
      </c>
      <c r="BL47" s="15">
        <f>MECS_Annual_Fuel1!BJ47</f>
        <v>13825.46659221253</v>
      </c>
      <c r="BM47" s="15">
        <f t="shared" si="35"/>
        <v>21309.33</v>
      </c>
      <c r="BN47" s="15">
        <f t="shared" si="36"/>
        <v>21309330</v>
      </c>
      <c r="CA47" t="str">
        <f t="shared" si="37"/>
        <v>332</v>
      </c>
      <c r="CB47" s="7">
        <f t="shared" si="38"/>
        <v>218.6220851003327</v>
      </c>
      <c r="CC47" s="7">
        <f t="shared" si="39"/>
        <v>211.46793122626133</v>
      </c>
      <c r="CD47" s="7">
        <f t="shared" si="40"/>
        <v>240.91997523927262</v>
      </c>
      <c r="CE47" s="7">
        <f t="shared" si="41"/>
        <v>251.14969713900282</v>
      </c>
      <c r="CF47" s="7">
        <f t="shared" si="42"/>
        <v>241.18277568856524</v>
      </c>
      <c r="CG47" s="7">
        <f t="shared" si="43"/>
        <v>232.7480721271657</v>
      </c>
      <c r="CH47" s="7">
        <f t="shared" si="44"/>
        <v>217.28105279356296</v>
      </c>
      <c r="CI47" s="7">
        <f t="shared" si="45"/>
        <v>229.87900221393122</v>
      </c>
      <c r="CJ47" s="7">
        <f t="shared" si="46"/>
        <v>252.15796059187429</v>
      </c>
      <c r="CK47" s="7">
        <f t="shared" si="47"/>
        <v>263.57968281835372</v>
      </c>
      <c r="CL47" s="7">
        <f t="shared" si="48"/>
        <v>266.52941665942734</v>
      </c>
      <c r="CM47" s="7">
        <f t="shared" si="49"/>
        <v>266.15273924874344</v>
      </c>
      <c r="CN47" s="7">
        <f t="shared" si="50"/>
        <v>267.76592061143197</v>
      </c>
      <c r="CO47" s="7">
        <f t="shared" si="51"/>
        <v>265.28541200000001</v>
      </c>
      <c r="CP47" s="7">
        <f t="shared" si="52"/>
        <v>273.29141435783782</v>
      </c>
      <c r="CQ47" s="7">
        <f t="shared" si="53"/>
        <v>275.42995232882038</v>
      </c>
      <c r="CR47" s="7">
        <f t="shared" si="54"/>
        <v>262.49739365323751</v>
      </c>
      <c r="CS47" s="7">
        <f t="shared" si="55"/>
        <v>226.21632399999999</v>
      </c>
      <c r="CT47" s="7">
        <f t="shared" si="56"/>
        <v>225.40183295182362</v>
      </c>
      <c r="CU47" s="7">
        <f t="shared" si="57"/>
        <v>253.25956503512833</v>
      </c>
      <c r="CV47" s="7">
        <f t="shared" si="58"/>
        <v>263.47269179298661</v>
      </c>
      <c r="CW47" s="7">
        <f t="shared" si="59"/>
        <v>253.81542000000002</v>
      </c>
      <c r="CX47" s="7">
        <f t="shared" si="60"/>
        <v>225.8247089281079</v>
      </c>
      <c r="CY47" s="7">
        <f t="shared" si="61"/>
        <v>225.90301651132506</v>
      </c>
      <c r="CZ47" s="7">
        <f t="shared" si="33"/>
        <v>169.65054112606632</v>
      </c>
      <c r="DA47" s="7">
        <f t="shared" si="62"/>
        <v>174</v>
      </c>
      <c r="DB47" s="7">
        <f t="shared" si="63"/>
        <v>193.42814378888048</v>
      </c>
      <c r="DC47" s="7">
        <f t="shared" si="34"/>
        <v>186.00502457302662</v>
      </c>
      <c r="DD47" s="7">
        <f t="shared" si="34"/>
        <v>194.42770583294933</v>
      </c>
      <c r="DE47" s="7">
        <f t="shared" si="34"/>
        <v>201</v>
      </c>
      <c r="DF47" s="7">
        <f t="shared" ref="DF47:DH47" si="78">AK62</f>
        <v>198.38108949403755</v>
      </c>
      <c r="DG47" s="7">
        <f t="shared" si="78"/>
        <v>192.24474079899031</v>
      </c>
      <c r="DH47" s="7">
        <f t="shared" si="78"/>
        <v>183.36103025354547</v>
      </c>
      <c r="DI47" s="7"/>
      <c r="DJ47" s="7"/>
      <c r="DK47">
        <f t="shared" si="67"/>
        <v>1996</v>
      </c>
      <c r="DL47" s="44">
        <v>14258.316948536629</v>
      </c>
      <c r="DM47" s="44">
        <f>MER_Nov19_Table2.4!E60</f>
        <v>21309.33</v>
      </c>
      <c r="DY47">
        <f t="shared" si="72"/>
        <v>1992</v>
      </c>
      <c r="DZ47" s="49">
        <v>863.70158393200757</v>
      </c>
      <c r="EA47" s="49">
        <v>171.780636136151</v>
      </c>
      <c r="EB47" s="49">
        <v>37.95122991416855</v>
      </c>
      <c r="EC47" s="49">
        <v>285.65263466533662</v>
      </c>
      <c r="ED47" s="49">
        <v>2376.8968151839495</v>
      </c>
      <c r="EE47" s="49">
        <v>38.178392597320688</v>
      </c>
      <c r="EF47" s="49">
        <v>2978.6197025599158</v>
      </c>
      <c r="EG47" s="49">
        <v>2624.9869434256652</v>
      </c>
      <c r="EH47" s="49">
        <v>132.95089229393827</v>
      </c>
      <c r="EI47" s="49">
        <v>834.39754001449057</v>
      </c>
      <c r="EJ47" s="49">
        <v>1860.7007555363432</v>
      </c>
      <c r="EK47" s="49">
        <v>221.51344199750795</v>
      </c>
      <c r="EL47" s="49">
        <v>107.05467343210731</v>
      </c>
      <c r="EM47" s="49">
        <v>60.22308177563918</v>
      </c>
      <c r="EN47" s="49">
        <v>57.234985489425249</v>
      </c>
      <c r="EO47" s="49">
        <v>253.07663671240181</v>
      </c>
      <c r="EP47" s="49">
        <v>52.652898635297085</v>
      </c>
      <c r="EQ47" s="49">
        <v>38.845725201786685</v>
      </c>
    </row>
    <row r="48" spans="6:147" x14ac:dyDescent="0.2">
      <c r="G48" t="s">
        <v>59</v>
      </c>
      <c r="J48" t="s">
        <v>59</v>
      </c>
      <c r="BJ48">
        <f t="shared" si="65"/>
        <v>1997</v>
      </c>
      <c r="BK48" s="15">
        <v>14560.236328467941</v>
      </c>
      <c r="BL48" s="15">
        <f>MECS_Annual_Fuel1!BJ48</f>
        <v>13443.556830524347</v>
      </c>
      <c r="BM48" s="15">
        <f t="shared" si="35"/>
        <v>21562.81</v>
      </c>
      <c r="BN48" s="15">
        <f t="shared" si="36"/>
        <v>21562810</v>
      </c>
      <c r="CA48" t="str">
        <f t="shared" si="37"/>
        <v>333</v>
      </c>
      <c r="CB48" s="7">
        <f t="shared" si="38"/>
        <v>118.55685257512636</v>
      </c>
      <c r="CC48" s="7">
        <f t="shared" si="39"/>
        <v>116.98714978306386</v>
      </c>
      <c r="CD48" s="7">
        <f t="shared" si="40"/>
        <v>132.05023472720444</v>
      </c>
      <c r="CE48" s="7">
        <f t="shared" si="41"/>
        <v>138.88393804304263</v>
      </c>
      <c r="CF48" s="7">
        <f t="shared" si="42"/>
        <v>132.91732711490641</v>
      </c>
      <c r="CG48" s="7">
        <f t="shared" si="43"/>
        <v>128.97297637763342</v>
      </c>
      <c r="CH48" s="7">
        <f t="shared" si="44"/>
        <v>113.47965946591772</v>
      </c>
      <c r="CI48" s="7">
        <f t="shared" si="45"/>
        <v>110.70250083204449</v>
      </c>
      <c r="CJ48" s="7">
        <f t="shared" si="46"/>
        <v>109.43334905227904</v>
      </c>
      <c r="CK48" s="7">
        <f t="shared" si="47"/>
        <v>112.92234511482371</v>
      </c>
      <c r="CL48" s="7">
        <f t="shared" si="48"/>
        <v>113.29739747524695</v>
      </c>
      <c r="CM48" s="7">
        <f t="shared" si="49"/>
        <v>113.4502406130739</v>
      </c>
      <c r="CN48" s="7">
        <f t="shared" si="50"/>
        <v>117.23713567672351</v>
      </c>
      <c r="CO48" s="7">
        <f t="shared" si="51"/>
        <v>116.85666400000001</v>
      </c>
      <c r="CP48" s="7">
        <f t="shared" si="52"/>
        <v>111.14191772589813</v>
      </c>
      <c r="CQ48" s="7">
        <f t="shared" si="53"/>
        <v>112.3236890404506</v>
      </c>
      <c r="CR48" s="7">
        <f t="shared" si="54"/>
        <v>106.23843340074862</v>
      </c>
      <c r="CS48" s="7">
        <f t="shared" si="55"/>
        <v>91.191044000000005</v>
      </c>
      <c r="CT48" s="7">
        <f t="shared" si="56"/>
        <v>85.205475557351576</v>
      </c>
      <c r="CU48" s="7">
        <f t="shared" si="57"/>
        <v>94.248781567234332</v>
      </c>
      <c r="CV48" s="7">
        <f t="shared" si="58"/>
        <v>95.608722533186722</v>
      </c>
      <c r="CW48" s="7">
        <f t="shared" si="59"/>
        <v>93.471671999999998</v>
      </c>
      <c r="CX48" s="7">
        <f t="shared" si="60"/>
        <v>94.334403800648914</v>
      </c>
      <c r="CY48" s="7">
        <f t="shared" si="61"/>
        <v>94.429918479184096</v>
      </c>
      <c r="CZ48" s="7">
        <f t="shared" si="33"/>
        <v>76.003760495764595</v>
      </c>
      <c r="DA48" s="7">
        <f t="shared" si="62"/>
        <v>78</v>
      </c>
      <c r="DB48" s="7">
        <f t="shared" si="63"/>
        <v>85.458880818563429</v>
      </c>
      <c r="DC48" s="7">
        <f t="shared" si="34"/>
        <v>81.030584847714223</v>
      </c>
      <c r="DD48" s="7">
        <f t="shared" si="34"/>
        <v>82.213031813224148</v>
      </c>
      <c r="DE48" s="7">
        <f t="shared" si="34"/>
        <v>84</v>
      </c>
      <c r="DF48" s="7">
        <f t="shared" ref="DF48:DH48" si="79">AK63</f>
        <v>81.531501178894231</v>
      </c>
      <c r="DG48" s="7">
        <f t="shared" si="79"/>
        <v>80.273406572215322</v>
      </c>
      <c r="DH48" s="7">
        <f t="shared" si="79"/>
        <v>77.461951769105639</v>
      </c>
      <c r="DI48" s="7"/>
      <c r="DJ48" s="7"/>
      <c r="DK48">
        <f t="shared" si="67"/>
        <v>1997</v>
      </c>
      <c r="DL48" s="44">
        <v>14245.009418160424</v>
      </c>
      <c r="DM48" s="44">
        <f>MER_Nov19_Table2.4!E61</f>
        <v>21562.81</v>
      </c>
      <c r="DY48">
        <f t="shared" ref="DY48:DY63" si="80">DY47+1</f>
        <v>1993</v>
      </c>
      <c r="DZ48" s="49">
        <v>926.75369383250984</v>
      </c>
      <c r="EA48" s="49">
        <v>179.66474753861871</v>
      </c>
      <c r="EB48" s="49">
        <v>38.969253979153493</v>
      </c>
      <c r="EC48" s="49">
        <v>308.99770621726981</v>
      </c>
      <c r="ED48" s="49">
        <v>2413.860058955303</v>
      </c>
      <c r="EE48" s="49">
        <v>35.271440939704874</v>
      </c>
      <c r="EF48" s="49">
        <v>2970.8276442091383</v>
      </c>
      <c r="EG48" s="49">
        <v>2667.9116101083255</v>
      </c>
      <c r="EH48" s="49">
        <v>136.77256011490636</v>
      </c>
      <c r="EI48" s="49">
        <v>866.94246720947717</v>
      </c>
      <c r="EJ48" s="49">
        <v>1980.5512991134312</v>
      </c>
      <c r="EK48" s="49">
        <v>238.70978614279537</v>
      </c>
      <c r="EL48" s="49">
        <v>108.0675573372492</v>
      </c>
      <c r="EM48" s="49">
        <v>64.59076180040033</v>
      </c>
      <c r="EN48" s="49">
        <v>62.688490345889321</v>
      </c>
      <c r="EO48" s="49">
        <v>281.57130919761488</v>
      </c>
      <c r="EP48" s="49">
        <v>50.694628080839159</v>
      </c>
      <c r="EQ48" s="49">
        <v>43.649220105879621</v>
      </c>
    </row>
    <row r="49" spans="6:147" x14ac:dyDescent="0.2">
      <c r="F49" t="str">
        <f>F26</f>
        <v>Interpolation ratios</v>
      </c>
      <c r="G49">
        <f>1</f>
        <v>1</v>
      </c>
      <c r="H49" s="37">
        <f>H28*(AVERAGE(G49,J49))</f>
        <v>0.97502060293035886</v>
      </c>
      <c r="I49" s="37">
        <f>I28*(AVERAGE(G49,J49))</f>
        <v>1.012711904630085</v>
      </c>
      <c r="J49">
        <v>1</v>
      </c>
      <c r="K49">
        <f>K28*(0.67*J49+0.33*M49)</f>
        <v>1.9951517868613202</v>
      </c>
      <c r="L49">
        <f>L28*(0.33*J49+0.67*M49)</f>
        <v>3.0128575958949955</v>
      </c>
      <c r="M49">
        <v>4</v>
      </c>
      <c r="N49">
        <f>N28*(AVERAGE(M49,P49))</f>
        <v>2.5311543826429386</v>
      </c>
      <c r="O49">
        <f>O28*(AVERAGE(M49,P49))</f>
        <v>2.5989985211437165</v>
      </c>
      <c r="P49">
        <v>1</v>
      </c>
      <c r="Q49">
        <f>Q28*(0.75*P49+0.25*T49)</f>
        <v>1.0054237502051104</v>
      </c>
      <c r="R49">
        <f>R28*(0.5*P49+0.5*T49)</f>
        <v>1.0084647022323621</v>
      </c>
      <c r="S49">
        <f>S28*(0.25*P49+0.75*T49)</f>
        <v>1.0143221287099711</v>
      </c>
      <c r="T49">
        <v>1</v>
      </c>
      <c r="U49">
        <f>U28*(0.75*T49+0.25*X49)</f>
        <v>0.96396366510408638</v>
      </c>
      <c r="V49">
        <f>V28*(0.5*T49+0.5*X49)</f>
        <v>1.002973922516285</v>
      </c>
      <c r="W49">
        <f>W28*(0.25*T49+0.75*X49)</f>
        <v>1.0544683993835884</v>
      </c>
      <c r="X49">
        <v>1</v>
      </c>
      <c r="Y49">
        <f>Y28*(0.75*X49+0.25*AB49)</f>
        <v>0.9500925496951087</v>
      </c>
      <c r="Z49">
        <f>Z28*(0.5*X49+0.5*AB49)</f>
        <v>1.0264473149479094</v>
      </c>
      <c r="AA49">
        <f>AA28*(0.25*X49+0.75*AB49)</f>
        <v>1.0346904341943279</v>
      </c>
      <c r="AB49">
        <v>1</v>
      </c>
      <c r="AC49">
        <f>AC28/AB28</f>
        <v>1.0030685548841842</v>
      </c>
      <c r="AD49">
        <f>AD28/AB28</f>
        <v>1.0746199418324698</v>
      </c>
      <c r="AE49">
        <f>AE28/AB28</f>
        <v>0.99227182428676963</v>
      </c>
      <c r="AF49">
        <f>AF28/AB28</f>
        <v>1</v>
      </c>
      <c r="BJ49">
        <f t="shared" si="65"/>
        <v>1998</v>
      </c>
      <c r="BK49" s="15">
        <v>14659.114711999997</v>
      </c>
      <c r="BL49" s="15">
        <f>MECS_Annual_Fuel1!BJ49</f>
        <v>14659.114711999997</v>
      </c>
      <c r="BM49" s="15">
        <f t="shared" si="35"/>
        <v>21183.828000000001</v>
      </c>
      <c r="BN49" s="15">
        <f t="shared" si="36"/>
        <v>21183828</v>
      </c>
      <c r="CA49" t="str">
        <f t="shared" si="37"/>
        <v>334</v>
      </c>
      <c r="CB49" s="7">
        <f t="shared" si="38"/>
        <v>54.789455724294967</v>
      </c>
      <c r="CC49" s="7">
        <f t="shared" si="39"/>
        <v>57.303111896000885</v>
      </c>
      <c r="CD49" s="7">
        <f t="shared" si="40"/>
        <v>61.351387822089904</v>
      </c>
      <c r="CE49" s="7">
        <f t="shared" si="41"/>
        <v>62.693189717341816</v>
      </c>
      <c r="CF49" s="7">
        <f t="shared" si="42"/>
        <v>61.085707701967216</v>
      </c>
      <c r="CG49" s="7">
        <f t="shared" si="43"/>
        <v>60.680320651913654</v>
      </c>
      <c r="CH49" s="7">
        <f t="shared" si="44"/>
        <v>56.220714404637988</v>
      </c>
      <c r="CI49" s="7">
        <f t="shared" si="45"/>
        <v>59.136342825767187</v>
      </c>
      <c r="CJ49" s="7">
        <f t="shared" si="46"/>
        <v>62.414538336240533</v>
      </c>
      <c r="CK49" s="7">
        <f t="shared" si="47"/>
        <v>66.930484972733723</v>
      </c>
      <c r="CL49" s="7">
        <f t="shared" si="48"/>
        <v>67.095586301614247</v>
      </c>
      <c r="CM49" s="7">
        <f t="shared" si="49"/>
        <v>67.556433090372835</v>
      </c>
      <c r="CN49" s="7">
        <f t="shared" si="50"/>
        <v>68.545245680475773</v>
      </c>
      <c r="CO49" s="7">
        <f t="shared" si="51"/>
        <v>67.813715999999999</v>
      </c>
      <c r="CP49" s="7">
        <f t="shared" si="52"/>
        <v>68.034519531803099</v>
      </c>
      <c r="CQ49" s="7">
        <f t="shared" si="53"/>
        <v>76.501244355034032</v>
      </c>
      <c r="CR49" s="7">
        <f t="shared" si="54"/>
        <v>76.93191460656567</v>
      </c>
      <c r="CS49" s="7">
        <f t="shared" si="55"/>
        <v>69.142976000000004</v>
      </c>
      <c r="CT49" s="7">
        <f t="shared" si="56"/>
        <v>63.618858062254837</v>
      </c>
      <c r="CU49" s="7">
        <f t="shared" si="57"/>
        <v>59.320993032324388</v>
      </c>
      <c r="CV49" s="7">
        <f t="shared" si="58"/>
        <v>52.984473624325041</v>
      </c>
      <c r="CW49" s="7">
        <f t="shared" si="59"/>
        <v>47.139291999999998</v>
      </c>
      <c r="CX49" s="7">
        <f t="shared" si="60"/>
        <v>47.831654822291256</v>
      </c>
      <c r="CY49" s="7">
        <f t="shared" si="61"/>
        <v>48.676765381324309</v>
      </c>
      <c r="CZ49" s="7">
        <f t="shared" si="33"/>
        <v>44.267491340198113</v>
      </c>
      <c r="DA49" s="7">
        <f t="shared" si="62"/>
        <v>43</v>
      </c>
      <c r="DB49" s="7">
        <f t="shared" si="63"/>
        <v>39.18390387793977</v>
      </c>
      <c r="DC49" s="7">
        <f t="shared" si="34"/>
        <v>53.598385805333585</v>
      </c>
      <c r="DD49" s="7">
        <f t="shared" si="34"/>
        <v>44.586580263967242</v>
      </c>
      <c r="DE49" s="7">
        <f t="shared" si="34"/>
        <v>50</v>
      </c>
      <c r="DF49" s="7">
        <f t="shared" ref="DF49:DH49" si="81">AK64</f>
        <v>53.638764378992477</v>
      </c>
      <c r="DG49" s="7">
        <f t="shared" si="81"/>
        <v>54.963539197924007</v>
      </c>
      <c r="DH49" s="7">
        <f t="shared" si="81"/>
        <v>53.697786362207289</v>
      </c>
      <c r="DI49" s="7"/>
      <c r="DJ49" s="7"/>
      <c r="DK49">
        <f t="shared" si="67"/>
        <v>1998</v>
      </c>
      <c r="DL49" s="44">
        <v>14659.114711999997</v>
      </c>
      <c r="DM49" s="44">
        <f>MER_Nov19_Table2.4!E62</f>
        <v>21183.828000000001</v>
      </c>
      <c r="DY49">
        <f t="shared" si="80"/>
        <v>1994</v>
      </c>
      <c r="DZ49" s="49">
        <v>1008.5825527109854</v>
      </c>
      <c r="EA49" s="49">
        <v>192.94392268146368</v>
      </c>
      <c r="EB49" s="49">
        <v>39.957336159874167</v>
      </c>
      <c r="EC49" s="49">
        <v>319.45866435321039</v>
      </c>
      <c r="ED49" s="49">
        <v>2406.5414497255788</v>
      </c>
      <c r="EE49" s="49">
        <v>37.113573244007682</v>
      </c>
      <c r="EF49" s="49">
        <v>3144.6947232151383</v>
      </c>
      <c r="EG49" s="49">
        <v>2729.1714558311169</v>
      </c>
      <c r="EH49" s="49">
        <v>141.58522460569185</v>
      </c>
      <c r="EI49" s="49">
        <v>822.05619657793363</v>
      </c>
      <c r="EJ49" s="49">
        <v>2096.657607556745</v>
      </c>
      <c r="EK49" s="49">
        <v>263.57968281835372</v>
      </c>
      <c r="EL49" s="49">
        <v>112.92234511482371</v>
      </c>
      <c r="EM49" s="49">
        <v>66.930484972733723</v>
      </c>
      <c r="EN49" s="49">
        <v>67.848599515192888</v>
      </c>
      <c r="EO49" s="49">
        <v>260.23443301298028</v>
      </c>
      <c r="EP49" s="49">
        <v>47.300771088826892</v>
      </c>
      <c r="EQ49" s="49">
        <v>48.376910834473634</v>
      </c>
    </row>
    <row r="50" spans="6:147" x14ac:dyDescent="0.2">
      <c r="G50">
        <f t="shared" ref="G50:AD50" si="82">G47</f>
        <v>1985</v>
      </c>
      <c r="H50">
        <f t="shared" si="82"/>
        <v>1986</v>
      </c>
      <c r="I50">
        <f t="shared" si="82"/>
        <v>1987</v>
      </c>
      <c r="J50">
        <f t="shared" si="82"/>
        <v>1988</v>
      </c>
      <c r="K50">
        <f t="shared" si="82"/>
        <v>1989</v>
      </c>
      <c r="L50">
        <f t="shared" si="82"/>
        <v>1990</v>
      </c>
      <c r="M50">
        <f t="shared" si="82"/>
        <v>1991</v>
      </c>
      <c r="N50">
        <f t="shared" si="82"/>
        <v>1992</v>
      </c>
      <c r="O50">
        <f t="shared" si="82"/>
        <v>1993</v>
      </c>
      <c r="P50">
        <f t="shared" si="82"/>
        <v>1994</v>
      </c>
      <c r="Q50">
        <f t="shared" si="82"/>
        <v>1995</v>
      </c>
      <c r="R50">
        <f t="shared" si="82"/>
        <v>1996</v>
      </c>
      <c r="S50">
        <f t="shared" si="82"/>
        <v>1997</v>
      </c>
      <c r="T50">
        <f t="shared" si="82"/>
        <v>1998</v>
      </c>
      <c r="U50">
        <f t="shared" si="82"/>
        <v>1999</v>
      </c>
      <c r="V50">
        <f t="shared" si="82"/>
        <v>2000</v>
      </c>
      <c r="W50">
        <f t="shared" si="82"/>
        <v>2001</v>
      </c>
      <c r="X50">
        <f t="shared" si="82"/>
        <v>2002</v>
      </c>
      <c r="Y50">
        <f t="shared" si="82"/>
        <v>2003</v>
      </c>
      <c r="Z50">
        <f t="shared" si="82"/>
        <v>2004</v>
      </c>
      <c r="AA50">
        <f t="shared" si="82"/>
        <v>2005</v>
      </c>
      <c r="AB50">
        <f t="shared" si="82"/>
        <v>2006</v>
      </c>
      <c r="AC50">
        <f t="shared" si="82"/>
        <v>2007</v>
      </c>
      <c r="AD50">
        <f t="shared" si="82"/>
        <v>2008</v>
      </c>
      <c r="AE50">
        <f>AE47</f>
        <v>2009</v>
      </c>
      <c r="AF50">
        <f>AF47</f>
        <v>2010</v>
      </c>
      <c r="AG50">
        <v>2011</v>
      </c>
      <c r="AH50">
        <v>2012</v>
      </c>
      <c r="AI50">
        <v>2013</v>
      </c>
      <c r="AJ50">
        <v>2014</v>
      </c>
      <c r="AK50">
        <v>2015</v>
      </c>
      <c r="AL50">
        <v>2016</v>
      </c>
      <c r="AM50">
        <v>2017</v>
      </c>
      <c r="BJ50">
        <f t="shared" si="65"/>
        <v>1999</v>
      </c>
      <c r="BK50" s="15">
        <v>14728.509324347524</v>
      </c>
      <c r="BL50" s="15">
        <f>MECS_Annual_Fuel1!BJ50</f>
        <v>15107.987323717851</v>
      </c>
      <c r="BM50" s="15">
        <f t="shared" si="35"/>
        <v>20943.474000000002</v>
      </c>
      <c r="BN50" s="15">
        <f t="shared" si="36"/>
        <v>20943474</v>
      </c>
      <c r="CA50" t="str">
        <f t="shared" si="37"/>
        <v>335</v>
      </c>
      <c r="CB50" s="7">
        <f t="shared" si="38"/>
        <v>62.919467623803939</v>
      </c>
      <c r="CC50" s="7">
        <f t="shared" si="39"/>
        <v>62.283777375903881</v>
      </c>
      <c r="CD50" s="7">
        <f t="shared" si="40"/>
        <v>64.15706000876547</v>
      </c>
      <c r="CE50" s="7">
        <f t="shared" si="41"/>
        <v>64.55717435203718</v>
      </c>
      <c r="CF50" s="7">
        <f t="shared" si="42"/>
        <v>61.694103271764547</v>
      </c>
      <c r="CG50" s="7">
        <f t="shared" si="43"/>
        <v>60.035246020404799</v>
      </c>
      <c r="CH50" s="7">
        <f t="shared" si="44"/>
        <v>55.611292613491038</v>
      </c>
      <c r="CI50" s="7">
        <f t="shared" si="45"/>
        <v>58.722096184269233</v>
      </c>
      <c r="CJ50" s="7">
        <f t="shared" si="46"/>
        <v>63.598151042354196</v>
      </c>
      <c r="CK50" s="7">
        <f t="shared" si="47"/>
        <v>67.848599515192888</v>
      </c>
      <c r="CL50" s="7">
        <f t="shared" si="48"/>
        <v>66.661965507217573</v>
      </c>
      <c r="CM50" s="7">
        <f t="shared" si="49"/>
        <v>64.493881405582243</v>
      </c>
      <c r="CN50" s="7">
        <f t="shared" si="50"/>
        <v>64.384523139479242</v>
      </c>
      <c r="CO50" s="7">
        <f t="shared" si="51"/>
        <v>60.671008</v>
      </c>
      <c r="CP50" s="7">
        <f t="shared" si="52"/>
        <v>61.278694478968518</v>
      </c>
      <c r="CQ50" s="7">
        <f t="shared" si="53"/>
        <v>62.734981192081634</v>
      </c>
      <c r="CR50" s="7">
        <f t="shared" si="54"/>
        <v>61.421876655289154</v>
      </c>
      <c r="CS50" s="7">
        <f t="shared" si="55"/>
        <v>55.569788000000003</v>
      </c>
      <c r="CT50" s="7">
        <f t="shared" si="56"/>
        <v>50.484928017926073</v>
      </c>
      <c r="CU50" s="7">
        <f t="shared" si="57"/>
        <v>48.906279751259603</v>
      </c>
      <c r="CV50" s="7">
        <f t="shared" si="58"/>
        <v>46.84281218060395</v>
      </c>
      <c r="CW50" s="7">
        <f t="shared" si="59"/>
        <v>43.097796000000002</v>
      </c>
      <c r="CX50" s="7">
        <f t="shared" si="60"/>
        <v>45.159102734737374</v>
      </c>
      <c r="CY50" s="7">
        <f t="shared" si="61"/>
        <v>44.34297491597448</v>
      </c>
      <c r="CZ50" s="7">
        <f t="shared" si="33"/>
        <v>35.887808772514582</v>
      </c>
      <c r="DA50" s="7">
        <f t="shared" si="62"/>
        <v>38</v>
      </c>
      <c r="DB50" s="7">
        <f t="shared" si="63"/>
        <v>40.364245616383492</v>
      </c>
      <c r="DC50" s="7">
        <f t="shared" si="34"/>
        <v>37.93210879610546</v>
      </c>
      <c r="DD50" s="7">
        <f t="shared" si="34"/>
        <v>33.77570078168521</v>
      </c>
      <c r="DE50" s="7">
        <f t="shared" si="34"/>
        <v>31</v>
      </c>
      <c r="DF50" s="7">
        <f t="shared" ref="DF50:DH50" si="83">AK65</f>
        <v>30.984416407924904</v>
      </c>
      <c r="DG50" s="7">
        <f t="shared" si="83"/>
        <v>29.598730565476735</v>
      </c>
      <c r="DH50" s="7">
        <f t="shared" si="83"/>
        <v>27.128736999693942</v>
      </c>
      <c r="DI50" s="7"/>
      <c r="DJ50" s="7"/>
      <c r="DK50">
        <f t="shared" si="67"/>
        <v>1999</v>
      </c>
      <c r="DL50" s="44">
        <v>14920.161681155838</v>
      </c>
      <c r="DM50" s="44">
        <f>MER_Nov19_Table2.4!E63</f>
        <v>20943.473999999998</v>
      </c>
      <c r="DY50">
        <f t="shared" si="80"/>
        <v>1995</v>
      </c>
      <c r="DZ50" s="49">
        <v>996.91523388203518</v>
      </c>
      <c r="EA50" s="49">
        <v>190.8904946076554</v>
      </c>
      <c r="EB50" s="49">
        <v>44.512636188125661</v>
      </c>
      <c r="EC50" s="49">
        <v>373.11340884966961</v>
      </c>
      <c r="ED50" s="49">
        <v>2475.1031059942475</v>
      </c>
      <c r="EE50" s="49">
        <v>43.188518122581051</v>
      </c>
      <c r="EF50" s="49">
        <v>3318.3953852069985</v>
      </c>
      <c r="EG50" s="49">
        <v>2808.3801069250053</v>
      </c>
      <c r="EH50" s="49">
        <v>151.80278514264387</v>
      </c>
      <c r="EI50" s="49">
        <v>836.37810053118699</v>
      </c>
      <c r="EJ50" s="49">
        <v>2018.3220014173257</v>
      </c>
      <c r="EK50" s="49">
        <v>289.62365431759213</v>
      </c>
      <c r="EL50" s="49">
        <v>126.83165939971266</v>
      </c>
      <c r="EM50" s="49">
        <v>73.038453387793254</v>
      </c>
      <c r="EN50" s="49">
        <v>77.856750209741236</v>
      </c>
      <c r="EO50" s="49">
        <v>278.41898668330401</v>
      </c>
      <c r="EP50" s="49">
        <v>55.003014814745541</v>
      </c>
      <c r="EQ50" s="49">
        <v>54.003433472495793</v>
      </c>
    </row>
    <row r="51" spans="6:147" x14ac:dyDescent="0.2">
      <c r="F51" t="str">
        <f t="shared" ref="F51:F68" si="84">F28</f>
        <v>311-312</v>
      </c>
      <c r="G51">
        <f>MECS_Fuel!E244</f>
        <v>814.40918409036976</v>
      </c>
      <c r="H51" s="37">
        <f t="shared" ref="H51:H68" si="85">H28*(0.67*G51+0.33*J51)</f>
        <v>805.87785924402021</v>
      </c>
      <c r="I51" s="37">
        <f t="shared" ref="I51:I68" si="86">I28*(0.33*G51+0.67*J51)</f>
        <v>849.6711482156627</v>
      </c>
      <c r="J51">
        <f>MECS_Fuel!F244</f>
        <v>851.12053122624513</v>
      </c>
      <c r="K51" s="37">
        <f t="shared" ref="K51:K68" si="87">K28*(0.67*J51+0.33*M51)</f>
        <v>839.61122980424602</v>
      </c>
      <c r="L51" s="37">
        <f t="shared" ref="L51:L68" si="88">L28*(0.33*J51+0.67*M51)</f>
        <v>824.13311855167171</v>
      </c>
      <c r="M51">
        <f>MECS_Fuel!G244</f>
        <v>809.67414956814787</v>
      </c>
      <c r="N51" s="37">
        <f t="shared" ref="N51:N68" si="89">N28*(0.67*M51+0.33*P51)</f>
        <v>886.22186855629877</v>
      </c>
      <c r="O51" s="37">
        <f t="shared" ref="O51:O68" si="90">O28*(0.33*M51+0.67*P51)</f>
        <v>980.28275595819161</v>
      </c>
      <c r="P51">
        <f>MECS_Fuel!H244</f>
        <v>1008.5825527109854</v>
      </c>
      <c r="Q51" s="37">
        <f t="shared" ref="Q51:Q68" si="91">Q28*(0.75*P51+0.25*T51)</f>
        <v>990.42888807712393</v>
      </c>
      <c r="R51" s="37">
        <f t="shared" ref="R51:R68" si="92">R28*(0.5*P51+0.5*T51)</f>
        <v>969.7290711626971</v>
      </c>
      <c r="S51" s="37">
        <f t="shared" ref="S51:S68" si="93">S28*(0.25*P51+0.75*T51)</f>
        <v>951.52846553880602</v>
      </c>
      <c r="T51">
        <f>MECS_Fuel!I244</f>
        <v>914.596452</v>
      </c>
      <c r="U51" s="37">
        <f t="shared" ref="U51:U68" si="94">U28*(0.75*T51+0.25*X51)</f>
        <v>893.43609159153425</v>
      </c>
      <c r="V51" s="37">
        <f t="shared" ref="V51:V68" si="95">V28*(0.5*T51+0.5*X51)</f>
        <v>941.86800307804378</v>
      </c>
      <c r="W51" s="37">
        <f t="shared" ref="W51:W68" si="96">W28*(0.25*T51+0.75*X51)</f>
        <v>1003.1312605484319</v>
      </c>
      <c r="X51">
        <f>MECS_Fuel!J244</f>
        <v>963.55408</v>
      </c>
      <c r="Y51" s="37">
        <f t="shared" ref="Y51:Y68" si="97">Y28*(0.75*X51+0.25*AB51)</f>
        <v>927.49494613448371</v>
      </c>
      <c r="Z51" s="37">
        <f t="shared" ref="Z51:Z68" si="98">Z28*(0.5*X51+0.5*AB51)</f>
        <v>1015.0297842600783</v>
      </c>
      <c r="AA51" s="37">
        <f t="shared" ref="AA51:AA68" si="99">AA28*(0.25*X51+0.75*AB51)</f>
        <v>1036.2817239313119</v>
      </c>
      <c r="AB51">
        <f>MECS_Fuel!K244</f>
        <v>1014.1992240000001</v>
      </c>
      <c r="AC51" s="37">
        <f t="shared" ref="AC51" si="100">AC28*(0.75*AB51+0.25*AF51)</f>
        <v>1003.218431381518</v>
      </c>
      <c r="AD51" s="37">
        <f t="shared" ref="AD51" si="101">AD28*(0.5*AB51+0.5*AF51)</f>
        <v>1059.6823076884609</v>
      </c>
      <c r="AE51" s="37">
        <f t="shared" ref="AE51" si="102">AE28*(0.25*AB51+0.75*AF51)</f>
        <v>964.53763429722051</v>
      </c>
      <c r="AF51" s="7">
        <f>MECS_Fuel!L244</f>
        <v>958</v>
      </c>
      <c r="AG51" s="37">
        <f t="shared" ref="AG51:AG68" si="103">AG28*(0.75*AF51+0.25*AJ51)</f>
        <v>1031.1808451804641</v>
      </c>
      <c r="AH51" s="37">
        <f t="shared" ref="AH51:AH68" si="104">AH28*(0.5*AF51+0.5*AJ51)</f>
        <v>921.07002027937654</v>
      </c>
      <c r="AI51" s="37">
        <f t="shared" ref="AI51:AI68" si="105">AI28*(0.25*AF51+0.75*AJ51)</f>
        <v>906.73078377861361</v>
      </c>
      <c r="AJ51" s="7">
        <f>MECS_Fuel!M244</f>
        <v>929</v>
      </c>
      <c r="AK51" s="116">
        <f>AK28*$AJ51</f>
        <v>889.04090124413779</v>
      </c>
      <c r="AL51" s="116">
        <f t="shared" ref="AL51:AM51" si="106">AL28*$AJ51</f>
        <v>903.53304712888075</v>
      </c>
      <c r="AM51" s="116">
        <f t="shared" si="106"/>
        <v>892.09332001167968</v>
      </c>
      <c r="BJ51">
        <f t="shared" si="65"/>
        <v>2000</v>
      </c>
      <c r="BK51" s="15">
        <v>14923.847161432477</v>
      </c>
      <c r="BL51" s="15">
        <f>MECS_Annual_Fuel1!BJ51</f>
        <v>14949.547628319633</v>
      </c>
      <c r="BM51" s="15">
        <f t="shared" si="35"/>
        <v>20819.778000000002</v>
      </c>
      <c r="BN51" s="15">
        <f t="shared" si="36"/>
        <v>20819778</v>
      </c>
      <c r="CA51" t="str">
        <f t="shared" si="37"/>
        <v>336</v>
      </c>
      <c r="CB51" s="7">
        <f t="shared" si="38"/>
        <v>234.98001273849101</v>
      </c>
      <c r="CC51" s="7">
        <f t="shared" si="39"/>
        <v>233.49457897097713</v>
      </c>
      <c r="CD51" s="7">
        <f t="shared" si="40"/>
        <v>239.65530302767775</v>
      </c>
      <c r="CE51" s="7">
        <f t="shared" si="41"/>
        <v>254.78050349600764</v>
      </c>
      <c r="CF51" s="7">
        <f t="shared" si="42"/>
        <v>250.35553411998833</v>
      </c>
      <c r="CG51" s="7">
        <f t="shared" si="43"/>
        <v>250.25347105331275</v>
      </c>
      <c r="CH51" s="7">
        <f t="shared" si="44"/>
        <v>244.13057132985355</v>
      </c>
      <c r="CI51" s="7">
        <f t="shared" si="45"/>
        <v>252.15956298972819</v>
      </c>
      <c r="CJ51" s="7">
        <f t="shared" si="46"/>
        <v>266.15910279294047</v>
      </c>
      <c r="CK51" s="7">
        <f t="shared" si="47"/>
        <v>260.23443301298028</v>
      </c>
      <c r="CL51" s="7">
        <f t="shared" si="48"/>
        <v>268.13385415129153</v>
      </c>
      <c r="CM51" s="7">
        <f t="shared" si="49"/>
        <v>269.15888392998517</v>
      </c>
      <c r="CN51" s="7">
        <f t="shared" si="50"/>
        <v>299.60200027902334</v>
      </c>
      <c r="CO51" s="7">
        <f t="shared" si="51"/>
        <v>292.75512400000002</v>
      </c>
      <c r="CP51" s="7">
        <f t="shared" si="52"/>
        <v>288.60804189539977</v>
      </c>
      <c r="CQ51" s="7">
        <f t="shared" si="53"/>
        <v>283.80950178623908</v>
      </c>
      <c r="CR51" s="7">
        <f t="shared" si="54"/>
        <v>275.19572342939011</v>
      </c>
      <c r="CS51" s="7">
        <f t="shared" si="55"/>
        <v>251.66670399999998</v>
      </c>
      <c r="CT51" s="7">
        <f t="shared" si="56"/>
        <v>251.87823010168896</v>
      </c>
      <c r="CU51" s="7">
        <f t="shared" si="57"/>
        <v>277.32354215323386</v>
      </c>
      <c r="CV51" s="7">
        <f t="shared" si="58"/>
        <v>288.06533817652706</v>
      </c>
      <c r="CW51" s="7">
        <f t="shared" si="59"/>
        <v>283.93937199999999</v>
      </c>
      <c r="CX51" s="7">
        <f t="shared" si="60"/>
        <v>259.44427704656505</v>
      </c>
      <c r="CY51" s="7">
        <f t="shared" si="61"/>
        <v>220.88103591216688</v>
      </c>
      <c r="CZ51" s="7">
        <f t="shared" si="33"/>
        <v>147.5600612979587</v>
      </c>
      <c r="DA51" s="7">
        <f t="shared" si="62"/>
        <v>143</v>
      </c>
      <c r="DB51" s="7">
        <f t="shared" si="63"/>
        <v>160.71893682310198</v>
      </c>
      <c r="DC51" s="7">
        <f t="shared" si="34"/>
        <v>159.53612482859435</v>
      </c>
      <c r="DD51" s="7">
        <f t="shared" si="34"/>
        <v>159.6545724921302</v>
      </c>
      <c r="DE51" s="7">
        <f t="shared" si="34"/>
        <v>164</v>
      </c>
      <c r="DF51" s="7">
        <f t="shared" ref="DF51:DH51" si="107">AK66</f>
        <v>171.28909795159873</v>
      </c>
      <c r="DG51" s="7">
        <f t="shared" si="107"/>
        <v>176.01164499656809</v>
      </c>
      <c r="DH51" s="7">
        <f t="shared" si="107"/>
        <v>164.14160553703283</v>
      </c>
      <c r="DI51" s="7"/>
      <c r="DJ51" s="7"/>
      <c r="DK51">
        <f t="shared" si="67"/>
        <v>2000</v>
      </c>
      <c r="DL51" s="44">
        <v>14785.024832475434</v>
      </c>
      <c r="DM51" s="44">
        <f>MER_Nov19_Table2.4!E64</f>
        <v>20819.777999999998</v>
      </c>
      <c r="DY51">
        <f t="shared" si="80"/>
        <v>1996</v>
      </c>
      <c r="DZ51" s="49">
        <v>865.22738818560777</v>
      </c>
      <c r="EA51" s="49">
        <v>167.09700979934172</v>
      </c>
      <c r="EB51" s="49">
        <v>36.045490006918435</v>
      </c>
      <c r="EC51" s="49">
        <v>354.43765969546752</v>
      </c>
      <c r="ED51" s="49">
        <v>2445.7058531055864</v>
      </c>
      <c r="EE51" s="49">
        <v>40.33110661016218</v>
      </c>
      <c r="EF51" s="49">
        <v>3430.9762747528257</v>
      </c>
      <c r="EG51" s="49">
        <v>3060.7601437574108</v>
      </c>
      <c r="EH51" s="49">
        <v>145.59186602176126</v>
      </c>
      <c r="EI51" s="49">
        <v>768.59394669215737</v>
      </c>
      <c r="EJ51" s="49">
        <v>2087.7303780101934</v>
      </c>
      <c r="EK51" s="49">
        <v>248.28781667305427</v>
      </c>
      <c r="EL51" s="49">
        <v>112.60870645818754</v>
      </c>
      <c r="EM51" s="49">
        <v>72.049060260742735</v>
      </c>
      <c r="EN51" s="49">
        <v>67.460163031968875</v>
      </c>
      <c r="EO51" s="49">
        <v>260.19136025138812</v>
      </c>
      <c r="EP51" s="49">
        <v>51.030768858049989</v>
      </c>
      <c r="EQ51" s="49">
        <v>44.191956365805062</v>
      </c>
    </row>
    <row r="52" spans="6:147" x14ac:dyDescent="0.2">
      <c r="F52" t="str">
        <f t="shared" si="84"/>
        <v>313-314</v>
      </c>
      <c r="G52">
        <f>MECS_Fuel!E245</f>
        <v>156.1414043262503</v>
      </c>
      <c r="H52" s="37">
        <f t="shared" si="85"/>
        <v>156.81946644885855</v>
      </c>
      <c r="I52" s="37">
        <f t="shared" si="86"/>
        <v>171.8729483968385</v>
      </c>
      <c r="J52">
        <f>MECS_Fuel!F245</f>
        <v>168.48905994885055</v>
      </c>
      <c r="K52" s="37">
        <f t="shared" si="87"/>
        <v>169.00383762175332</v>
      </c>
      <c r="L52" s="37">
        <f t="shared" si="88"/>
        <v>164.88747322512268</v>
      </c>
      <c r="M52">
        <f>MECS_Fuel!G245</f>
        <v>167.22964134569051</v>
      </c>
      <c r="N52" s="37">
        <f t="shared" si="89"/>
        <v>178.80910908050782</v>
      </c>
      <c r="O52" s="37">
        <f t="shared" si="90"/>
        <v>193.83030773270252</v>
      </c>
      <c r="P52">
        <f>MECS_Fuel!H245</f>
        <v>192.94392268146368</v>
      </c>
      <c r="Q52" s="37">
        <f t="shared" si="91"/>
        <v>193.24129495531079</v>
      </c>
      <c r="R52" s="37">
        <f t="shared" si="92"/>
        <v>186.91499546626957</v>
      </c>
      <c r="S52" s="37">
        <f t="shared" si="93"/>
        <v>182.39733525718023</v>
      </c>
      <c r="T52">
        <f>MECS_Fuel!I245</f>
        <v>183.883668</v>
      </c>
      <c r="U52" s="37">
        <f t="shared" si="94"/>
        <v>184.67342246184486</v>
      </c>
      <c r="V52" s="37">
        <f t="shared" si="95"/>
        <v>175.64905650823243</v>
      </c>
      <c r="W52" s="37">
        <f t="shared" si="96"/>
        <v>168.5391508071167</v>
      </c>
      <c r="X52">
        <f>MECS_Fuel!J245</f>
        <v>161.77534800000001</v>
      </c>
      <c r="Y52" s="37">
        <f t="shared" si="97"/>
        <v>166.98570222614092</v>
      </c>
      <c r="Z52" s="37">
        <f t="shared" si="98"/>
        <v>175.25878946924223</v>
      </c>
      <c r="AA52" s="37">
        <f t="shared" si="99"/>
        <v>180.8575283733627</v>
      </c>
      <c r="AB52">
        <f>MECS_Fuel!K245</f>
        <v>164.407712</v>
      </c>
      <c r="AC52" s="37">
        <f t="shared" ref="AC52:AC68" si="108">AC29*(0.75*AB52+0.25*AF52)</f>
        <v>131.01963673692865</v>
      </c>
      <c r="AD52" s="37">
        <f t="shared" ref="AD52:AD68" si="109">AD29*(0.5*AB52+0.5*AF52)</f>
        <v>109.02298694623083</v>
      </c>
      <c r="AE52" s="37">
        <f t="shared" ref="AE52:AE68" si="110">AE29*(0.25*AB52+0.75*AF52)</f>
        <v>74.967247565849974</v>
      </c>
      <c r="AF52" s="7">
        <f>MECS_Fuel!L245</f>
        <v>62</v>
      </c>
      <c r="AG52" s="37">
        <f t="shared" si="103"/>
        <v>67.475434841954012</v>
      </c>
      <c r="AH52" s="37">
        <f t="shared" si="104"/>
        <v>64.520665212809618</v>
      </c>
      <c r="AI52" s="37">
        <f t="shared" si="105"/>
        <v>68.584517026105416</v>
      </c>
      <c r="AJ52" s="7">
        <f>MECS_Fuel!M245</f>
        <v>72</v>
      </c>
      <c r="AK52" s="116">
        <f t="shared" ref="AK52:AM52" si="111">AK29*$AJ52</f>
        <v>67.297448026385894</v>
      </c>
      <c r="AL52" s="116">
        <f t="shared" si="111"/>
        <v>63.720576872171549</v>
      </c>
      <c r="AM52" s="116">
        <f t="shared" si="111"/>
        <v>59.573059576118609</v>
      </c>
      <c r="BJ52">
        <f t="shared" si="65"/>
        <v>2001</v>
      </c>
      <c r="BK52" s="15">
        <v>14192.295830046149</v>
      </c>
      <c r="BL52" s="15">
        <f>MECS_Annual_Fuel1!BJ52</f>
        <v>14514.588606183477</v>
      </c>
      <c r="BM52" s="15">
        <f t="shared" si="35"/>
        <v>20007.338</v>
      </c>
      <c r="BN52" s="15">
        <f t="shared" si="36"/>
        <v>20007338</v>
      </c>
      <c r="CA52" t="str">
        <f t="shared" si="37"/>
        <v>337</v>
      </c>
      <c r="CB52" s="7">
        <f t="shared" si="38"/>
        <v>37.383822846973821</v>
      </c>
      <c r="CC52" s="7">
        <f t="shared" si="39"/>
        <v>37.443558459499911</v>
      </c>
      <c r="CD52" s="7">
        <f t="shared" si="40"/>
        <v>44.134979818462696</v>
      </c>
      <c r="CE52" s="7">
        <f t="shared" si="41"/>
        <v>48.640156995919362</v>
      </c>
      <c r="CF52" s="7">
        <f t="shared" si="42"/>
        <v>51.878254348091929</v>
      </c>
      <c r="CG52" s="7">
        <f t="shared" si="43"/>
        <v>54.223695770453325</v>
      </c>
      <c r="CH52" s="7">
        <f t="shared" si="44"/>
        <v>55.8843501953478</v>
      </c>
      <c r="CI52" s="7">
        <f t="shared" si="45"/>
        <v>53.610241526416303</v>
      </c>
      <c r="CJ52" s="7">
        <f t="shared" si="46"/>
        <v>53.538120715934923</v>
      </c>
      <c r="CK52" s="7">
        <f t="shared" si="47"/>
        <v>47.300771088826892</v>
      </c>
      <c r="CL52" s="7">
        <f t="shared" si="48"/>
        <v>49.933962080087383</v>
      </c>
      <c r="CM52" s="7">
        <f t="shared" si="49"/>
        <v>51.03943583794306</v>
      </c>
      <c r="CN52" s="7">
        <f t="shared" si="50"/>
        <v>57.492608473251913</v>
      </c>
      <c r="CO52" s="7">
        <f t="shared" si="51"/>
        <v>58.499848</v>
      </c>
      <c r="CP52" s="7">
        <f t="shared" si="52"/>
        <v>53.713217938449027</v>
      </c>
      <c r="CQ52" s="7">
        <f t="shared" si="53"/>
        <v>51.636294349193435</v>
      </c>
      <c r="CR52" s="7">
        <f t="shared" si="54"/>
        <v>44.281857261978708</v>
      </c>
      <c r="CS52" s="7">
        <f t="shared" si="55"/>
        <v>38.904455999999996</v>
      </c>
      <c r="CT52" s="7">
        <f t="shared" si="56"/>
        <v>35.141046297568252</v>
      </c>
      <c r="CU52" s="7">
        <f t="shared" si="57"/>
        <v>37.586736455066877</v>
      </c>
      <c r="CV52" s="7">
        <f t="shared" si="58"/>
        <v>33.037018769628489</v>
      </c>
      <c r="CW52" s="7">
        <f t="shared" si="59"/>
        <v>28.391231999999999</v>
      </c>
      <c r="CX52" s="7">
        <f t="shared" si="60"/>
        <v>26.126543559878453</v>
      </c>
      <c r="CY52" s="7">
        <f t="shared" si="61"/>
        <v>25.182564091959538</v>
      </c>
      <c r="CZ52" s="7">
        <f t="shared" si="33"/>
        <v>18.959175048440578</v>
      </c>
      <c r="DA52" s="7">
        <f t="shared" si="62"/>
        <v>19</v>
      </c>
      <c r="DB52" s="7">
        <f t="shared" si="63"/>
        <v>19.042697726452193</v>
      </c>
      <c r="DC52" s="7">
        <f t="shared" ref="DC52:DC54" si="112">AH67</f>
        <v>18.112553964096406</v>
      </c>
      <c r="DD52" s="7">
        <f t="shared" ref="DD52:DD54" si="113">AI67</f>
        <v>19.463019993779522</v>
      </c>
      <c r="DE52" s="7">
        <f t="shared" ref="DE52:DE54" si="114">AJ67</f>
        <v>20</v>
      </c>
      <c r="DF52" s="7">
        <f t="shared" ref="DF52:DH52" si="115">AK67</f>
        <v>20.581577065024042</v>
      </c>
      <c r="DG52" s="7">
        <f t="shared" si="115"/>
        <v>21.153825082074555</v>
      </c>
      <c r="DH52" s="7">
        <f t="shared" si="115"/>
        <v>19.459041648165012</v>
      </c>
      <c r="DI52" s="7"/>
      <c r="DJ52" s="7"/>
      <c r="DK52">
        <f t="shared" si="67"/>
        <v>2001</v>
      </c>
      <c r="DL52" s="44">
        <v>14295.866372999417</v>
      </c>
      <c r="DM52" s="44">
        <f>MER_Nov19_Table2.4!E65</f>
        <v>20007.338</v>
      </c>
      <c r="DY52">
        <f t="shared" si="80"/>
        <v>1997</v>
      </c>
      <c r="DZ52" s="49">
        <v>867.68525811561415</v>
      </c>
      <c r="EA52" s="49">
        <v>170.57022786370626</v>
      </c>
      <c r="EB52" s="49">
        <v>34.309579022565551</v>
      </c>
      <c r="EC52" s="49">
        <v>351.22789070081427</v>
      </c>
      <c r="ED52" s="49">
        <v>2444.4671078929837</v>
      </c>
      <c r="EE52" s="49">
        <v>40.608372244311404</v>
      </c>
      <c r="EF52" s="49">
        <v>3465.1910244853348</v>
      </c>
      <c r="EG52" s="49">
        <v>3103.9541409155927</v>
      </c>
      <c r="EH52" s="49">
        <v>135.30020215581013</v>
      </c>
      <c r="EI52" s="49">
        <v>781.48054541412921</v>
      </c>
      <c r="EJ52" s="49">
        <v>2032.416827386887</v>
      </c>
      <c r="EK52" s="49">
        <v>234.68145352408129</v>
      </c>
      <c r="EL52" s="49">
        <v>106.43670136428443</v>
      </c>
      <c r="EM52" s="49">
        <v>65.619117583298419</v>
      </c>
      <c r="EN52" s="49">
        <v>58.848707074425718</v>
      </c>
      <c r="EO52" s="49">
        <v>258.23641416413506</v>
      </c>
      <c r="EP52" s="49">
        <v>51.656782449462625</v>
      </c>
      <c r="EQ52" s="49">
        <v>42.319065802984603</v>
      </c>
    </row>
    <row r="53" spans="6:147" x14ac:dyDescent="0.2">
      <c r="F53" t="str">
        <f t="shared" si="84"/>
        <v>315-316</v>
      </c>
      <c r="G53">
        <f>MECS_Fuel!E246</f>
        <v>27.870927218965459</v>
      </c>
      <c r="H53" s="37">
        <f t="shared" si="85"/>
        <v>33.631593252843487</v>
      </c>
      <c r="I53" s="37">
        <f t="shared" si="86"/>
        <v>39.615552598854052</v>
      </c>
      <c r="J53">
        <f>MECS_Fuel!F246</f>
        <v>46.203934666809843</v>
      </c>
      <c r="K53" s="37">
        <f t="shared" si="87"/>
        <v>41.335996246698251</v>
      </c>
      <c r="L53" s="37">
        <f t="shared" si="88"/>
        <v>36.748781894154362</v>
      </c>
      <c r="M53">
        <f>MECS_Fuel!G246</f>
        <v>36.963147733447869</v>
      </c>
      <c r="N53" s="37">
        <f t="shared" si="89"/>
        <v>37.95122991416855</v>
      </c>
      <c r="O53" s="37">
        <f t="shared" si="90"/>
        <v>38.969253979153493</v>
      </c>
      <c r="P53">
        <f>MECS_Fuel!H246</f>
        <v>39.957336159874167</v>
      </c>
      <c r="Q53" s="37">
        <f t="shared" si="91"/>
        <v>42.784075130240332</v>
      </c>
      <c r="R53" s="37">
        <f t="shared" si="92"/>
        <v>41.983935653390816</v>
      </c>
      <c r="S53" s="37">
        <f t="shared" si="93"/>
        <v>36.075824958364926</v>
      </c>
      <c r="T53">
        <f>MECS_Fuel!I246</f>
        <v>35.487055999999995</v>
      </c>
      <c r="U53" s="37">
        <f t="shared" si="94"/>
        <v>35.207811781512774</v>
      </c>
      <c r="V53" s="37">
        <f t="shared" si="95"/>
        <v>38.517516106102029</v>
      </c>
      <c r="W53" s="37">
        <f t="shared" si="96"/>
        <v>38.011221624353787</v>
      </c>
      <c r="X53">
        <f>MECS_Fuel!J246</f>
        <v>22.314752000000002</v>
      </c>
      <c r="Y53" s="37">
        <f t="shared" si="97"/>
        <v>18.041416154475037</v>
      </c>
      <c r="Z53" s="37">
        <f t="shared" si="98"/>
        <v>17.982706274995483</v>
      </c>
      <c r="AA53" s="37">
        <f t="shared" si="99"/>
        <v>13.772810621563261</v>
      </c>
      <c r="AB53">
        <f>MECS_Fuel!K246</f>
        <v>8.7224880000000002</v>
      </c>
      <c r="AC53" s="37">
        <f t="shared" si="108"/>
        <v>5.8406535981034562</v>
      </c>
      <c r="AD53" s="37">
        <f t="shared" si="109"/>
        <v>4.3935652006285961</v>
      </c>
      <c r="AE53" s="37">
        <f t="shared" si="110"/>
        <v>3.1051374821196021</v>
      </c>
      <c r="AF53" s="7">
        <f>MECS_Fuel!L246</f>
        <v>3</v>
      </c>
      <c r="AG53" s="37">
        <f t="shared" si="103"/>
        <v>3.0870100675593122</v>
      </c>
      <c r="AH53" s="37">
        <f t="shared" si="104"/>
        <v>2.5355252526918068</v>
      </c>
      <c r="AI53" s="37">
        <f t="shared" si="105"/>
        <v>2.7822744782525901</v>
      </c>
      <c r="AJ53" s="7">
        <f>MECS_Fuel!M246</f>
        <v>3</v>
      </c>
      <c r="AK53" s="116">
        <f t="shared" ref="AK53:AM53" si="116">AK30*$AJ53</f>
        <v>2.8570207715339491</v>
      </c>
      <c r="AL53" s="116">
        <f t="shared" si="116"/>
        <v>2.7356919694565347</v>
      </c>
      <c r="AM53" s="116">
        <f t="shared" si="116"/>
        <v>2.5042552102357565</v>
      </c>
      <c r="BJ53">
        <f t="shared" si="65"/>
        <v>2002</v>
      </c>
      <c r="BK53" s="15">
        <v>13433.641368000002</v>
      </c>
      <c r="BL53" s="15">
        <f>MECS_Annual_Fuel1!BJ53</f>
        <v>13433.641368000002</v>
      </c>
      <c r="BM53" s="15">
        <f t="shared" si="35"/>
        <v>20007.356</v>
      </c>
      <c r="BN53" s="15">
        <f t="shared" si="36"/>
        <v>20007356</v>
      </c>
      <c r="CA53" t="str">
        <f t="shared" si="37"/>
        <v>339</v>
      </c>
      <c r="CB53" s="7">
        <f t="shared" si="38"/>
        <v>33.863505680901589</v>
      </c>
      <c r="CC53" s="7">
        <f t="shared" si="39"/>
        <v>34.19538370920494</v>
      </c>
      <c r="CD53" s="7">
        <f t="shared" si="40"/>
        <v>44.247956661323812</v>
      </c>
      <c r="CE53" s="7">
        <f t="shared" si="41"/>
        <v>45.434393503358493</v>
      </c>
      <c r="CF53" s="7">
        <f t="shared" si="42"/>
        <v>42.437431591215379</v>
      </c>
      <c r="CG53" s="7">
        <f t="shared" si="43"/>
        <v>41.765597208998628</v>
      </c>
      <c r="CH53" s="7">
        <f t="shared" si="44"/>
        <v>34.793804965135031</v>
      </c>
      <c r="CI53" s="7">
        <f t="shared" si="45"/>
        <v>38.559674523708956</v>
      </c>
      <c r="CJ53" s="7">
        <f t="shared" si="46"/>
        <v>44.932421712612715</v>
      </c>
      <c r="CK53" s="7">
        <f t="shared" si="47"/>
        <v>48.376910834473634</v>
      </c>
      <c r="CL53" s="7">
        <f t="shared" si="48"/>
        <v>49.815836342825335</v>
      </c>
      <c r="CM53" s="7">
        <f t="shared" si="49"/>
        <v>48.603520435196003</v>
      </c>
      <c r="CN53" s="7">
        <f t="shared" si="50"/>
        <v>48.207720360170626</v>
      </c>
      <c r="CO53" s="7">
        <f t="shared" si="51"/>
        <v>47.700868</v>
      </c>
      <c r="CP53" s="7">
        <f t="shared" si="52"/>
        <v>44.144083628013298</v>
      </c>
      <c r="CQ53" s="7">
        <f t="shared" si="53"/>
        <v>43.160736797831376</v>
      </c>
      <c r="CR53" s="7">
        <f t="shared" si="54"/>
        <v>40.871228778204937</v>
      </c>
      <c r="CS53" s="7">
        <f t="shared" si="55"/>
        <v>35.603912000000001</v>
      </c>
      <c r="CT53" s="7">
        <f t="shared" si="56"/>
        <v>34.156235730009286</v>
      </c>
      <c r="CU53" s="7">
        <f t="shared" si="57"/>
        <v>37.943434675810046</v>
      </c>
      <c r="CV53" s="7">
        <f t="shared" si="58"/>
        <v>35.952347860876394</v>
      </c>
      <c r="CW53" s="7">
        <f t="shared" si="59"/>
        <v>32.982075999999999</v>
      </c>
      <c r="CX53" s="7">
        <f t="shared" si="60"/>
        <v>27.709583283086388</v>
      </c>
      <c r="CY53" s="7">
        <f t="shared" si="61"/>
        <v>24.907738048183688</v>
      </c>
      <c r="CZ53" s="7">
        <f t="shared" si="33"/>
        <v>19.310576591921215</v>
      </c>
      <c r="DA53" s="7">
        <f t="shared" si="62"/>
        <v>17</v>
      </c>
      <c r="DB53" s="7">
        <f t="shared" si="63"/>
        <v>20.722780873843412</v>
      </c>
      <c r="DC53" s="7">
        <f t="shared" si="112"/>
        <v>21.080916738078123</v>
      </c>
      <c r="DD53" s="7">
        <f t="shared" si="113"/>
        <v>25.588746730337991</v>
      </c>
      <c r="DE53" s="7">
        <f t="shared" si="114"/>
        <v>28</v>
      </c>
      <c r="DF53" s="7">
        <f t="shared" ref="DF53:DH53" si="117">AK68</f>
        <v>29.251831036701951</v>
      </c>
      <c r="DG53" s="7">
        <f t="shared" si="117"/>
        <v>28.912394920955389</v>
      </c>
      <c r="DH53" s="7">
        <f t="shared" si="117"/>
        <v>24.640202165076392</v>
      </c>
      <c r="DI53" s="7"/>
      <c r="DJ53" s="7"/>
      <c r="DK53">
        <f t="shared" si="67"/>
        <v>2002</v>
      </c>
      <c r="DL53" s="44">
        <v>13433.641368000002</v>
      </c>
      <c r="DM53" s="44">
        <f>MER_Nov19_Table2.4!E66</f>
        <v>20007.356</v>
      </c>
      <c r="DY53">
        <f t="shared" si="80"/>
        <v>1998</v>
      </c>
      <c r="DZ53" s="49">
        <v>914.596452</v>
      </c>
      <c r="EA53" s="49">
        <v>183.883668</v>
      </c>
      <c r="EB53" s="49">
        <v>35.487055999999995</v>
      </c>
      <c r="EC53" s="49">
        <v>431.76796000000002</v>
      </c>
      <c r="ED53" s="49">
        <v>2503.918032</v>
      </c>
      <c r="EE53" s="49">
        <v>47.004247999999997</v>
      </c>
      <c r="EF53" s="49">
        <v>3495.5546920000002</v>
      </c>
      <c r="EG53" s="49">
        <v>3126.5770039999998</v>
      </c>
      <c r="EH53" s="49">
        <v>144.39999600000002</v>
      </c>
      <c r="EI53" s="49">
        <v>834.98687599999994</v>
      </c>
      <c r="EJ53" s="49">
        <v>2031.356088</v>
      </c>
      <c r="EK53" s="49">
        <v>265.28541200000001</v>
      </c>
      <c r="EL53" s="49">
        <v>116.85666400000001</v>
      </c>
      <c r="EM53" s="49">
        <v>67.813715999999999</v>
      </c>
      <c r="EN53" s="49">
        <v>60.671008</v>
      </c>
      <c r="EO53" s="49">
        <v>292.75512400000002</v>
      </c>
      <c r="EP53" s="49">
        <v>58.499848</v>
      </c>
      <c r="EQ53" s="49">
        <v>47.700868</v>
      </c>
    </row>
    <row r="54" spans="6:147" x14ac:dyDescent="0.2">
      <c r="F54" t="str">
        <f t="shared" si="84"/>
        <v>321</v>
      </c>
      <c r="G54">
        <f>MECS_Fuel!E247</f>
        <v>248.79987339144392</v>
      </c>
      <c r="H54" s="37">
        <f t="shared" si="85"/>
        <v>257.9654171791114</v>
      </c>
      <c r="I54" s="37">
        <f t="shared" si="86"/>
        <v>295.94532242068425</v>
      </c>
      <c r="J54">
        <f>MECS_Fuel!F247</f>
        <v>302.60197307912358</v>
      </c>
      <c r="K54" s="37">
        <f t="shared" si="87"/>
        <v>304.57856043540056</v>
      </c>
      <c r="L54" s="37">
        <f t="shared" si="88"/>
        <v>309.21478262480241</v>
      </c>
      <c r="M54">
        <f>MECS_Fuel!G247</f>
        <v>314.83245355703338</v>
      </c>
      <c r="N54" s="37">
        <f t="shared" si="89"/>
        <v>311.44716992932456</v>
      </c>
      <c r="O54" s="37">
        <f t="shared" si="90"/>
        <v>322.80220909337817</v>
      </c>
      <c r="P54">
        <f>MECS_Fuel!H247</f>
        <v>319.45866435321039</v>
      </c>
      <c r="Q54" s="37">
        <f t="shared" si="91"/>
        <v>347.60478066532323</v>
      </c>
      <c r="R54" s="37">
        <f t="shared" si="92"/>
        <v>370.12426401292805</v>
      </c>
      <c r="S54" s="37">
        <f t="shared" si="93"/>
        <v>405.61721992137211</v>
      </c>
      <c r="T54">
        <f>MECS_Fuel!I247</f>
        <v>431.76796000000002</v>
      </c>
      <c r="U54" s="37">
        <f t="shared" si="94"/>
        <v>419.08830196660148</v>
      </c>
      <c r="V54" s="37">
        <f t="shared" si="95"/>
        <v>386.73481876758336</v>
      </c>
      <c r="W54" s="37">
        <f t="shared" si="96"/>
        <v>333.59346446267381</v>
      </c>
      <c r="X54">
        <f>MECS_Fuel!J247</f>
        <v>303.39918</v>
      </c>
      <c r="Y54" s="37">
        <f t="shared" si="97"/>
        <v>308.45863926815002</v>
      </c>
      <c r="Z54" s="37">
        <f t="shared" si="98"/>
        <v>346.4297043524744</v>
      </c>
      <c r="AA54" s="37">
        <f t="shared" si="99"/>
        <v>357.81020556147917</v>
      </c>
      <c r="AB54">
        <f>MECS_Fuel!K247</f>
        <v>353.821124</v>
      </c>
      <c r="AC54" s="37">
        <f t="shared" si="108"/>
        <v>353.17246133511139</v>
      </c>
      <c r="AD54" s="37">
        <f t="shared" si="109"/>
        <v>369.09832862726574</v>
      </c>
      <c r="AE54" s="37">
        <f t="shared" si="110"/>
        <v>340.8533318925015</v>
      </c>
      <c r="AF54" s="7">
        <f>MECS_Fuel!L247</f>
        <v>418</v>
      </c>
      <c r="AG54" s="37">
        <f t="shared" si="103"/>
        <v>392.13892849651705</v>
      </c>
      <c r="AH54" s="37">
        <f t="shared" si="104"/>
        <v>345.56699625739475</v>
      </c>
      <c r="AI54" s="37">
        <f t="shared" si="105"/>
        <v>336.8269813938291</v>
      </c>
      <c r="AJ54" s="7">
        <f>MECS_Fuel!M247</f>
        <v>311</v>
      </c>
      <c r="AK54" s="116">
        <f t="shared" ref="AK54:AM54" si="118">AK31*$AJ54</f>
        <v>323.16183725171015</v>
      </c>
      <c r="AL54" s="116">
        <f t="shared" si="118"/>
        <v>318.51549703372802</v>
      </c>
      <c r="AM54" s="116">
        <f t="shared" si="118"/>
        <v>298.6518831234963</v>
      </c>
      <c r="BJ54">
        <f t="shared" si="65"/>
        <v>2003</v>
      </c>
      <c r="BK54" s="15">
        <v>13144.904346684232</v>
      </c>
      <c r="BL54" s="15">
        <f>MECS_Annual_Fuel1!BJ54</f>
        <v>12683.97905434305</v>
      </c>
      <c r="BM54" s="15">
        <f t="shared" si="35"/>
        <v>19744.646000000001</v>
      </c>
      <c r="BN54" s="15">
        <f t="shared" si="36"/>
        <v>19744646</v>
      </c>
      <c r="CB54" s="7">
        <f t="shared" si="38"/>
        <v>11405.381661116657</v>
      </c>
      <c r="CC54" s="7">
        <f t="shared" si="39"/>
        <v>11848.14459054793</v>
      </c>
      <c r="CD54" s="7">
        <f t="shared" si="40"/>
        <v>12244.467026933529</v>
      </c>
      <c r="CE54" s="7">
        <f t="shared" si="41"/>
        <v>13042.115484022981</v>
      </c>
      <c r="CF54" s="7">
        <f t="shared" si="42"/>
        <v>12938.712984296737</v>
      </c>
      <c r="CG54" s="7">
        <f t="shared" si="43"/>
        <v>13127.243620441241</v>
      </c>
      <c r="CH54" s="7">
        <f t="shared" si="44"/>
        <v>12599.548369464048</v>
      </c>
      <c r="CI54" s="7">
        <f t="shared" si="45"/>
        <v>13012.023322645411</v>
      </c>
      <c r="CJ54" s="7">
        <f t="shared" si="46"/>
        <v>13404.523508348133</v>
      </c>
      <c r="CK54" s="7">
        <f t="shared" si="47"/>
        <v>13805.955934019132</v>
      </c>
      <c r="CL54" s="7">
        <f t="shared" si="48"/>
        <v>14156.850042956279</v>
      </c>
      <c r="CM54" s="7">
        <f t="shared" si="49"/>
        <v>14557.42477201747</v>
      </c>
      <c r="CN54" s="7">
        <f t="shared" si="50"/>
        <v>14560.236328467941</v>
      </c>
      <c r="CO54" s="7">
        <f t="shared" si="51"/>
        <v>14659.114711999997</v>
      </c>
      <c r="CP54" s="7">
        <f t="shared" si="52"/>
        <v>14728.509324347524</v>
      </c>
      <c r="CQ54" s="7">
        <f t="shared" si="53"/>
        <v>14923.847161432477</v>
      </c>
      <c r="CR54" s="7">
        <f t="shared" si="54"/>
        <v>14192.295830046149</v>
      </c>
      <c r="CS54" s="7">
        <f t="shared" si="55"/>
        <v>13433.641368000002</v>
      </c>
      <c r="CT54" s="7">
        <f t="shared" si="56"/>
        <v>13144.904346684232</v>
      </c>
      <c r="CU54" s="7">
        <f t="shared" si="57"/>
        <v>13294.146339556921</v>
      </c>
      <c r="CV54" s="7">
        <f t="shared" si="58"/>
        <v>13384.606670720777</v>
      </c>
      <c r="CW54" s="7">
        <f t="shared" si="59"/>
        <v>12805.585636000002</v>
      </c>
      <c r="CX54" s="7">
        <f t="shared" si="60"/>
        <v>12906.494993698292</v>
      </c>
      <c r="CY54" s="7">
        <f t="shared" si="61"/>
        <v>12750.609076748007</v>
      </c>
      <c r="CZ54" s="7">
        <f t="shared" si="33"/>
        <v>11246.042322398092</v>
      </c>
      <c r="DA54" s="7">
        <f t="shared" si="62"/>
        <v>11795</v>
      </c>
      <c r="DB54" s="7">
        <f>AG69</f>
        <v>12423.025844770134</v>
      </c>
      <c r="DC54" s="7">
        <f t="shared" si="112"/>
        <v>12361.558379338943</v>
      </c>
      <c r="DD54" s="7">
        <f t="shared" si="113"/>
        <v>12149.692187268034</v>
      </c>
      <c r="DE54" s="7">
        <f t="shared" si="114"/>
        <v>12301</v>
      </c>
      <c r="DF54" s="7">
        <f t="shared" ref="DF54" si="119">AK69</f>
        <v>12280.28336888263</v>
      </c>
      <c r="DG54" s="7">
        <f t="shared" ref="DG54" si="120">AL69</f>
        <v>11897.091115174684</v>
      </c>
      <c r="DH54" s="7">
        <f t="shared" ref="DH54" si="121">AM69</f>
        <v>11965.960519445742</v>
      </c>
      <c r="DI54" s="7"/>
      <c r="DJ54" s="7"/>
      <c r="DK54">
        <f t="shared" si="67"/>
        <v>2003</v>
      </c>
      <c r="DL54" s="44">
        <v>13113.137221225885</v>
      </c>
      <c r="DM54" s="44">
        <f>MER_Nov19_Table2.4!E67</f>
        <v>19744.646000000001</v>
      </c>
      <c r="DY54">
        <f t="shared" si="80"/>
        <v>1999</v>
      </c>
      <c r="DZ54" s="49">
        <v>935.17439841307237</v>
      </c>
      <c r="EA54" s="49">
        <v>187.31181548387343</v>
      </c>
      <c r="EB54" s="49">
        <v>34.727399494976886</v>
      </c>
      <c r="EC54" s="49">
        <v>456.65878470026882</v>
      </c>
      <c r="ED54" s="49">
        <v>2465.1884562264563</v>
      </c>
      <c r="EE54" s="49">
        <v>52.164830887173935</v>
      </c>
      <c r="EF54" s="49">
        <v>3559.9686790500004</v>
      </c>
      <c r="EG54" s="49">
        <v>3311.1447124275678</v>
      </c>
      <c r="EH54" s="49">
        <v>163.77373974259751</v>
      </c>
      <c r="EI54" s="49">
        <v>887.75742962271181</v>
      </c>
      <c r="EJ54" s="49">
        <v>1927.9607115402796</v>
      </c>
      <c r="EK54" s="49">
        <v>288.74371654908276</v>
      </c>
      <c r="EL54" s="49">
        <v>123.53689957565348</v>
      </c>
      <c r="EM54" s="49">
        <v>75.412349760347183</v>
      </c>
      <c r="EN54" s="49">
        <v>66.741514974897328</v>
      </c>
      <c r="EO54" s="49">
        <v>276.64336592279864</v>
      </c>
      <c r="EP54" s="49">
        <v>60.507721609016151</v>
      </c>
      <c r="EQ54" s="49">
        <v>46.745155175063296</v>
      </c>
    </row>
    <row r="55" spans="6:147" x14ac:dyDescent="0.2">
      <c r="F55" t="str">
        <f t="shared" si="84"/>
        <v>322</v>
      </c>
      <c r="G55">
        <f>MECS_Fuel!E248</f>
        <v>2017.3632372266716</v>
      </c>
      <c r="H55" s="37">
        <f t="shared" si="85"/>
        <v>2185.7420891092902</v>
      </c>
      <c r="I55" s="37">
        <f t="shared" si="86"/>
        <v>2167.9174255288149</v>
      </c>
      <c r="J55">
        <f>MECS_Fuel!F248</f>
        <v>2153.9562641132611</v>
      </c>
      <c r="K55" s="37">
        <f t="shared" si="87"/>
        <v>2213.0471422891374</v>
      </c>
      <c r="L55" s="37">
        <f t="shared" si="88"/>
        <v>2350.5908952008981</v>
      </c>
      <c r="M55">
        <f>MECS_Fuel!G248</f>
        <v>2267.2367478194155</v>
      </c>
      <c r="N55" s="37">
        <f t="shared" si="89"/>
        <v>2323.9149041441701</v>
      </c>
      <c r="O55" s="37">
        <f t="shared" si="90"/>
        <v>2422.306131810823</v>
      </c>
      <c r="P55">
        <f>MECS_Fuel!H248</f>
        <v>2406.5414497255788</v>
      </c>
      <c r="Q55" s="37">
        <f t="shared" si="91"/>
        <v>2469.5193494741152</v>
      </c>
      <c r="R55" s="37">
        <f t="shared" si="92"/>
        <v>2433.386759999657</v>
      </c>
      <c r="S55" s="37">
        <f t="shared" si="93"/>
        <v>2419.8042180806001</v>
      </c>
      <c r="T55">
        <f>MECS_Fuel!I248</f>
        <v>2503.918032</v>
      </c>
      <c r="U55" s="37">
        <f t="shared" si="94"/>
        <v>2365.3738609324801</v>
      </c>
      <c r="V55" s="37">
        <f t="shared" si="95"/>
        <v>2379.1675428212411</v>
      </c>
      <c r="W55" s="37">
        <f t="shared" si="96"/>
        <v>2251.0650826608944</v>
      </c>
      <c r="X55">
        <f>MECS_Fuel!J248</f>
        <v>2137.503764</v>
      </c>
      <c r="Y55" s="37">
        <f t="shared" si="97"/>
        <v>2136.2773725826887</v>
      </c>
      <c r="Z55" s="37">
        <f t="shared" si="98"/>
        <v>2193.4125594876432</v>
      </c>
      <c r="AA55" s="37">
        <f t="shared" si="99"/>
        <v>2213.1160558606671</v>
      </c>
      <c r="AB55">
        <f>MECS_Fuel!K248</f>
        <v>2106.5685840000001</v>
      </c>
      <c r="AC55" s="37">
        <f t="shared" si="108"/>
        <v>2150.1800317573543</v>
      </c>
      <c r="AD55" s="37">
        <f t="shared" si="109"/>
        <v>1955.3043092340858</v>
      </c>
      <c r="AE55" s="37">
        <f t="shared" si="110"/>
        <v>1858.2918324601335</v>
      </c>
      <c r="AF55" s="7">
        <f>MECS_Fuel!L248</f>
        <v>1904</v>
      </c>
      <c r="AG55" s="37">
        <f t="shared" si="103"/>
        <v>1947.0947983266572</v>
      </c>
      <c r="AH55" s="37">
        <f t="shared" si="104"/>
        <v>1931.4279896091687</v>
      </c>
      <c r="AI55" s="37">
        <f t="shared" si="105"/>
        <v>1858.5512267495544</v>
      </c>
      <c r="AJ55" s="7">
        <f>MECS_Fuel!M248</f>
        <v>1899</v>
      </c>
      <c r="AK55" s="116">
        <f t="shared" ref="AK55:AM55" si="122">AK32*$AJ55</f>
        <v>1943.5627767764981</v>
      </c>
      <c r="AL55" s="116">
        <f t="shared" si="122"/>
        <v>1928.1742389513456</v>
      </c>
      <c r="AM55" s="116">
        <f t="shared" si="122"/>
        <v>1799.6227304249944</v>
      </c>
      <c r="BJ55">
        <f t="shared" si="65"/>
        <v>2004</v>
      </c>
      <c r="BK55" s="15">
        <v>13294.146339556921</v>
      </c>
      <c r="BL55" s="15">
        <f>MECS_Annual_Fuel1!BJ55</f>
        <v>12662.2812968331</v>
      </c>
      <c r="BM55" s="15">
        <f t="shared" si="35"/>
        <v>20487.963</v>
      </c>
      <c r="BN55" s="15">
        <f t="shared" si="36"/>
        <v>20487963</v>
      </c>
      <c r="DK55">
        <f t="shared" si="67"/>
        <v>2004</v>
      </c>
      <c r="DL55" s="44">
        <v>12950.8719434869</v>
      </c>
      <c r="DM55" s="44">
        <f>MER_Nov19_Table2.4!E68</f>
        <v>20487.963</v>
      </c>
      <c r="DY55">
        <f t="shared" si="80"/>
        <v>2000</v>
      </c>
      <c r="DZ55" s="49">
        <v>890.52621269592521</v>
      </c>
      <c r="EA55" s="49">
        <v>156.99410743381722</v>
      </c>
      <c r="EB55" s="49">
        <v>27.828729813053091</v>
      </c>
      <c r="EC55" s="49">
        <v>395.38550253374592</v>
      </c>
      <c r="ED55" s="49">
        <v>2357.2657029108259</v>
      </c>
      <c r="EE55" s="49">
        <v>43.975163094048298</v>
      </c>
      <c r="EF55" s="49">
        <v>3613.8718330000002</v>
      </c>
      <c r="EG55" s="49">
        <v>3451.1731051817164</v>
      </c>
      <c r="EH55" s="49">
        <v>170.55457311273068</v>
      </c>
      <c r="EI55" s="49">
        <v>860.3030388807673</v>
      </c>
      <c r="EJ55" s="49">
        <v>1984.8032031815608</v>
      </c>
      <c r="EK55" s="49">
        <v>253.16629233678722</v>
      </c>
      <c r="EL55" s="49">
        <v>105.82598083764137</v>
      </c>
      <c r="EM55" s="49">
        <v>77.55543180251361</v>
      </c>
      <c r="EN55" s="49">
        <v>60.834662292932563</v>
      </c>
      <c r="EO55" s="49">
        <v>246.84021245432757</v>
      </c>
      <c r="EP55" s="49">
        <v>50.020066867969469</v>
      </c>
      <c r="EQ55" s="49">
        <v>38.101014045070116</v>
      </c>
    </row>
    <row r="56" spans="6:147" x14ac:dyDescent="0.2">
      <c r="F56" t="str">
        <f t="shared" si="84"/>
        <v>323</v>
      </c>
      <c r="G56">
        <f>MECS_Fuel!E249</f>
        <v>26.699079874753146</v>
      </c>
      <c r="H56" s="37">
        <f t="shared" si="85"/>
        <v>29.673834822986024</v>
      </c>
      <c r="I56" s="37">
        <f t="shared" si="86"/>
        <v>34.872850055727547</v>
      </c>
      <c r="J56">
        <f>MECS_Fuel!F249</f>
        <v>40.089746346787351</v>
      </c>
      <c r="K56" s="37">
        <f t="shared" si="87"/>
        <v>39.472957001976042</v>
      </c>
      <c r="L56" s="37">
        <f t="shared" si="88"/>
        <v>40.115553512094927</v>
      </c>
      <c r="M56">
        <f>MECS_Fuel!G249</f>
        <v>38.576483481067747</v>
      </c>
      <c r="N56" s="37">
        <f t="shared" si="89"/>
        <v>38.249269868458356</v>
      </c>
      <c r="O56" s="37">
        <f t="shared" si="90"/>
        <v>39.117927782255769</v>
      </c>
      <c r="P56">
        <f>MECS_Fuel!H249</f>
        <v>37.113573244007682</v>
      </c>
      <c r="Q56" s="37">
        <f t="shared" si="91"/>
        <v>39.956553539447306</v>
      </c>
      <c r="R56" s="37">
        <f t="shared" si="92"/>
        <v>41.969957276170064</v>
      </c>
      <c r="S56" s="37">
        <f t="shared" si="93"/>
        <v>44.230845172679878</v>
      </c>
      <c r="T56">
        <f>MECS_Fuel!I249</f>
        <v>47.004247999999997</v>
      </c>
      <c r="U56" s="37">
        <f t="shared" si="94"/>
        <v>47.240438646063247</v>
      </c>
      <c r="V56" s="37">
        <f t="shared" si="95"/>
        <v>49.877730982503209</v>
      </c>
      <c r="W56" s="37">
        <f t="shared" si="96"/>
        <v>49.290041522731229</v>
      </c>
      <c r="X56">
        <f>MECS_Fuel!J249</f>
        <v>47.795832000000004</v>
      </c>
      <c r="Y56" s="37">
        <f t="shared" si="97"/>
        <v>44.805577596795843</v>
      </c>
      <c r="Z56" s="37">
        <f t="shared" si="98"/>
        <v>47.724610919701639</v>
      </c>
      <c r="AA56" s="37">
        <f t="shared" si="99"/>
        <v>44.771707788812314</v>
      </c>
      <c r="AB56">
        <f>MECS_Fuel!K249</f>
        <v>40.374451999999998</v>
      </c>
      <c r="AC56" s="37">
        <f t="shared" si="108"/>
        <v>39.680241781726473</v>
      </c>
      <c r="AD56" s="37">
        <f t="shared" si="109"/>
        <v>41.635466330434035</v>
      </c>
      <c r="AE56" s="37">
        <f t="shared" si="110"/>
        <v>35.798656495699362</v>
      </c>
      <c r="AF56" s="7">
        <f>MECS_Fuel!L249</f>
        <v>36</v>
      </c>
      <c r="AG56" s="37">
        <f t="shared" si="103"/>
        <v>37.239600146478182</v>
      </c>
      <c r="AH56" s="37">
        <f t="shared" si="104"/>
        <v>37.047201548658769</v>
      </c>
      <c r="AI56" s="37">
        <f t="shared" si="105"/>
        <v>38.731793265159865</v>
      </c>
      <c r="AJ56" s="7">
        <f>MECS_Fuel!M249</f>
        <v>40</v>
      </c>
      <c r="AK56" s="116">
        <f t="shared" ref="AK56:AM56" si="123">AK33*$AJ56</f>
        <v>39.208928328830737</v>
      </c>
      <c r="AL56" s="116">
        <f t="shared" si="123"/>
        <v>38.773606562144806</v>
      </c>
      <c r="AM56" s="116">
        <f t="shared" si="123"/>
        <v>32.416093334231064</v>
      </c>
      <c r="BJ56">
        <f t="shared" si="65"/>
        <v>2005</v>
      </c>
      <c r="BK56" s="15">
        <v>13384.606670720777</v>
      </c>
      <c r="BL56" s="15">
        <f>MECS_Annual_Fuel1!BJ56</f>
        <v>12496.464302974078</v>
      </c>
      <c r="BM56" s="15">
        <f t="shared" si="35"/>
        <v>19472.252</v>
      </c>
      <c r="BN56" s="15">
        <f t="shared" si="36"/>
        <v>19472252</v>
      </c>
      <c r="CA56" s="52" t="s">
        <v>415</v>
      </c>
      <c r="CG56" s="52" t="s">
        <v>416</v>
      </c>
      <c r="DK56">
        <f t="shared" si="67"/>
        <v>2005</v>
      </c>
      <c r="DL56" s="44">
        <v>12740.8006945982</v>
      </c>
      <c r="DM56" s="44">
        <f>MER_Nov19_Table2.4!E69</f>
        <v>19472.252</v>
      </c>
      <c r="DY56">
        <f t="shared" si="80"/>
        <v>2001</v>
      </c>
      <c r="DZ56" s="49">
        <v>981.79189817683255</v>
      </c>
      <c r="EA56" s="49">
        <v>156.54886822367064</v>
      </c>
      <c r="EB56" s="49">
        <v>25.821803000550606</v>
      </c>
      <c r="EC56" s="49">
        <v>334.95065632387758</v>
      </c>
      <c r="ED56" s="49">
        <v>2298.5199852617166</v>
      </c>
      <c r="EE56" s="49">
        <v>43.927533603441304</v>
      </c>
      <c r="EF56" s="49">
        <v>3494.7027549010036</v>
      </c>
      <c r="EG56" s="49">
        <v>3269.7219092965011</v>
      </c>
      <c r="EH56" s="49">
        <v>170.96821812825092</v>
      </c>
      <c r="EI56" s="49">
        <v>844.57954689595817</v>
      </c>
      <c r="EJ56" s="49">
        <v>1881.1112478914877</v>
      </c>
      <c r="EK56" s="49">
        <v>236.80312759318167</v>
      </c>
      <c r="EL56" s="49">
        <v>100.6870972290484</v>
      </c>
      <c r="EM56" s="49">
        <v>65.334678752934266</v>
      </c>
      <c r="EN56" s="49">
        <v>57.139295822194057</v>
      </c>
      <c r="EO56" s="49">
        <v>257.20038854295694</v>
      </c>
      <c r="EP56" s="49">
        <v>42.856703444423736</v>
      </c>
      <c r="EQ56" s="49">
        <v>33.200659911387405</v>
      </c>
    </row>
    <row r="57" spans="6:147" x14ac:dyDescent="0.2">
      <c r="F57" t="str">
        <f t="shared" si="84"/>
        <v>324</v>
      </c>
      <c r="G57">
        <f>MECS_Fuel!E250</f>
        <v>2519.6333802647096</v>
      </c>
      <c r="H57" s="37">
        <f t="shared" si="85"/>
        <v>2850.2471338482869</v>
      </c>
      <c r="I57" s="37">
        <f t="shared" si="86"/>
        <v>2753.6476622858058</v>
      </c>
      <c r="J57">
        <f>MECS_Fuel!F250</f>
        <v>3018.3157833208888</v>
      </c>
      <c r="K57" s="37">
        <f t="shared" si="87"/>
        <v>2965.3762841158969</v>
      </c>
      <c r="L57" s="37">
        <f t="shared" si="88"/>
        <v>2981.7236021574176</v>
      </c>
      <c r="M57">
        <f>MECS_Fuel!G250</f>
        <v>2884.3712617836486</v>
      </c>
      <c r="N57" s="37">
        <f t="shared" si="89"/>
        <v>2978.6197025599158</v>
      </c>
      <c r="O57" s="37">
        <f t="shared" si="90"/>
        <v>2970.8276442091383</v>
      </c>
      <c r="P57">
        <f>MECS_Fuel!H250</f>
        <v>3144.6947232151383</v>
      </c>
      <c r="Q57" s="37">
        <f t="shared" si="91"/>
        <v>3318.3953852069985</v>
      </c>
      <c r="R57" s="37">
        <f t="shared" si="92"/>
        <v>3430.9762747528257</v>
      </c>
      <c r="S57" s="37">
        <f t="shared" si="93"/>
        <v>3465.1910244853348</v>
      </c>
      <c r="T57">
        <f>MECS_Fuel!I250</f>
        <v>3495.5546920000002</v>
      </c>
      <c r="U57" s="37">
        <f t="shared" si="94"/>
        <v>3559.9686790500004</v>
      </c>
      <c r="V57" s="37">
        <f t="shared" si="95"/>
        <v>3613.8718330000002</v>
      </c>
      <c r="W57" s="37">
        <f t="shared" si="96"/>
        <v>3494.7027549010036</v>
      </c>
      <c r="X57">
        <f>MECS_Fuel!J250</f>
        <v>3075.1213680000001</v>
      </c>
      <c r="Y57" s="37">
        <f t="shared" si="97"/>
        <v>2986.514133005855</v>
      </c>
      <c r="Z57" s="37">
        <f t="shared" si="98"/>
        <v>3077.7580838021422</v>
      </c>
      <c r="AA57" s="37">
        <f t="shared" si="99"/>
        <v>3370.7901598183917</v>
      </c>
      <c r="AB57">
        <f>MECS_Fuel!K250</f>
        <v>3259.0627920000002</v>
      </c>
      <c r="AC57" s="37">
        <f t="shared" si="108"/>
        <v>3233.695904757873</v>
      </c>
      <c r="AD57" s="37">
        <f t="shared" si="109"/>
        <v>3327.9701282444062</v>
      </c>
      <c r="AE57" s="37">
        <f t="shared" si="110"/>
        <v>3130.9523370717566</v>
      </c>
      <c r="AF57" s="7">
        <f>MECS_Fuel!L250</f>
        <v>3159</v>
      </c>
      <c r="AG57" s="37">
        <f t="shared" si="103"/>
        <v>3259.7653584959421</v>
      </c>
      <c r="AH57" s="37">
        <f t="shared" si="104"/>
        <v>3277.6362344421555</v>
      </c>
      <c r="AI57" s="37">
        <f t="shared" si="105"/>
        <v>3255.8559654963292</v>
      </c>
      <c r="AJ57" s="7">
        <f>MECS_Fuel!M250</f>
        <v>3346</v>
      </c>
      <c r="AK57" s="116">
        <f t="shared" ref="AK57:AM57" si="124">AK34*$AJ57</f>
        <v>3331.2874631205109</v>
      </c>
      <c r="AL57" s="116">
        <f t="shared" si="124"/>
        <v>3306.4003398237573</v>
      </c>
      <c r="AM57" s="116">
        <f t="shared" si="124"/>
        <v>3535.4876338208101</v>
      </c>
      <c r="BJ57">
        <f t="shared" si="65"/>
        <v>2006</v>
      </c>
      <c r="BK57" s="15">
        <v>12805.585636000002</v>
      </c>
      <c r="BL57" s="15">
        <f>MECS_Annual_Fuel1!BJ57</f>
        <v>12805.585636000002</v>
      </c>
      <c r="BM57" s="15">
        <f t="shared" si="35"/>
        <v>19529.322</v>
      </c>
      <c r="BN57" s="15">
        <f t="shared" si="36"/>
        <v>19529322</v>
      </c>
      <c r="DK57">
        <f t="shared" si="67"/>
        <v>2006</v>
      </c>
      <c r="DL57" s="44">
        <v>12805.585636000002</v>
      </c>
      <c r="DM57" s="44">
        <f>MER_Nov19_Table2.4!E70</f>
        <v>19529.322</v>
      </c>
      <c r="DY57">
        <f t="shared" si="80"/>
        <v>2002</v>
      </c>
      <c r="DZ57" s="49">
        <v>963.55408</v>
      </c>
      <c r="EA57" s="49">
        <v>161.77534800000001</v>
      </c>
      <c r="EB57" s="49">
        <v>22.314752000000002</v>
      </c>
      <c r="EC57" s="49">
        <v>303.39918</v>
      </c>
      <c r="ED57" s="49">
        <v>2137.503764</v>
      </c>
      <c r="EE57" s="49">
        <v>47.795832000000004</v>
      </c>
      <c r="EF57" s="49">
        <v>3075.1213680000001</v>
      </c>
      <c r="EG57" s="49">
        <v>3246.609152</v>
      </c>
      <c r="EH57" s="49">
        <v>166.54642800000002</v>
      </c>
      <c r="EI57" s="49">
        <v>910.76708400000007</v>
      </c>
      <c r="EJ57" s="49">
        <v>1629.9591760000001</v>
      </c>
      <c r="EK57" s="49">
        <v>226.21632399999999</v>
      </c>
      <c r="EL57" s="49">
        <v>91.191044000000005</v>
      </c>
      <c r="EM57" s="49">
        <v>69.142976000000004</v>
      </c>
      <c r="EN57" s="49">
        <v>55.569788000000003</v>
      </c>
      <c r="EO57" s="49">
        <v>251.66670399999998</v>
      </c>
      <c r="EP57" s="49">
        <v>38.904455999999996</v>
      </c>
      <c r="EQ57" s="49">
        <v>35.603912000000001</v>
      </c>
    </row>
    <row r="58" spans="6:147" x14ac:dyDescent="0.2">
      <c r="F58" t="str">
        <f t="shared" si="84"/>
        <v>325</v>
      </c>
      <c r="G58">
        <f>MECS_Fuel!E251</f>
        <v>1982.3306729500532</v>
      </c>
      <c r="H58" s="37">
        <f t="shared" si="85"/>
        <v>2015.168144981348</v>
      </c>
      <c r="I58" s="37">
        <f t="shared" si="86"/>
        <v>2230.5058143667238</v>
      </c>
      <c r="J58">
        <f>MECS_Fuel!F251</f>
        <v>2425.2974275342949</v>
      </c>
      <c r="K58" s="37">
        <f t="shared" si="87"/>
        <v>2521.8421868716355</v>
      </c>
      <c r="L58" s="37">
        <f t="shared" si="88"/>
        <v>2717.7721792901602</v>
      </c>
      <c r="M58">
        <f>MECS_Fuel!G251</f>
        <v>2577.2858974832011</v>
      </c>
      <c r="N58" s="37">
        <f t="shared" si="89"/>
        <v>2624.9869434256652</v>
      </c>
      <c r="O58" s="37">
        <f t="shared" si="90"/>
        <v>2667.9116101083255</v>
      </c>
      <c r="P58">
        <f>MECS_Fuel!H251</f>
        <v>2729.1714558311169</v>
      </c>
      <c r="Q58" s="37">
        <f t="shared" si="91"/>
        <v>2808.3801069250053</v>
      </c>
      <c r="R58" s="37">
        <f t="shared" si="92"/>
        <v>3060.7601437574108</v>
      </c>
      <c r="S58" s="37">
        <f t="shared" si="93"/>
        <v>3103.9541409155927</v>
      </c>
      <c r="T58">
        <f>MECS_Fuel!I251</f>
        <v>3126.5770039999998</v>
      </c>
      <c r="U58" s="37">
        <f t="shared" si="94"/>
        <v>3311.1447124275678</v>
      </c>
      <c r="V58" s="37">
        <f t="shared" si="95"/>
        <v>3451.1731051817164</v>
      </c>
      <c r="W58" s="37">
        <f t="shared" si="96"/>
        <v>3269.7219092965011</v>
      </c>
      <c r="X58">
        <f>MECS_Fuel!J251</f>
        <v>3246.609152</v>
      </c>
      <c r="Y58" s="37">
        <f t="shared" si="97"/>
        <v>3278.8496369605023</v>
      </c>
      <c r="Z58" s="37">
        <f t="shared" si="98"/>
        <v>3050.2080438901307</v>
      </c>
      <c r="AA58" s="37">
        <f t="shared" si="99"/>
        <v>2799.0993758095683</v>
      </c>
      <c r="AB58">
        <f>MECS_Fuel!K251</f>
        <v>2677.7578599999997</v>
      </c>
      <c r="AC58" s="37">
        <f t="shared" si="108"/>
        <v>2824.531653445953</v>
      </c>
      <c r="AD58" s="37">
        <f t="shared" si="109"/>
        <v>2808.6503129524704</v>
      </c>
      <c r="AE58" s="37">
        <f t="shared" si="110"/>
        <v>2507.0190933838858</v>
      </c>
      <c r="AF58" s="7">
        <f>MECS_Fuel!L251</f>
        <v>2772</v>
      </c>
      <c r="AG58" s="37">
        <f t="shared" si="103"/>
        <v>2941.6767618815675</v>
      </c>
      <c r="AH58" s="37">
        <f t="shared" si="104"/>
        <v>3059.4548171952733</v>
      </c>
      <c r="AI58" s="37">
        <f t="shared" si="105"/>
        <v>3057.0989274103763</v>
      </c>
      <c r="AJ58" s="7">
        <f>MECS_Fuel!M251</f>
        <v>3069</v>
      </c>
      <c r="AK58" s="116">
        <f t="shared" ref="AK58:AM58" si="125">AK35*$AJ58</f>
        <v>3048.5593485076511</v>
      </c>
      <c r="AL58" s="116">
        <f t="shared" si="125"/>
        <v>2898.1657328715528</v>
      </c>
      <c r="AM58" s="116">
        <f t="shared" si="125"/>
        <v>2960.8493024765744</v>
      </c>
      <c r="BJ58">
        <f t="shared" si="65"/>
        <v>2007</v>
      </c>
      <c r="BK58" s="15">
        <v>12906.494993698292</v>
      </c>
      <c r="BL58" s="15">
        <f>MECS_Annual_Fuel1!BJ58</f>
        <v>12854.449485866866</v>
      </c>
      <c r="BM58" s="15">
        <f t="shared" si="35"/>
        <v>19326</v>
      </c>
      <c r="BN58" s="15">
        <f t="shared" si="36"/>
        <v>19326000</v>
      </c>
      <c r="CB58">
        <f>MECS_Annual_Fuel1!G50</f>
        <v>1985</v>
      </c>
      <c r="CC58">
        <f>MECS_Annual_Fuel1!H50</f>
        <v>1986</v>
      </c>
      <c r="CD58">
        <f>MECS_Annual_Fuel1!I50</f>
        <v>1987</v>
      </c>
      <c r="CE58">
        <f>MECS_Annual_Fuel1!J50</f>
        <v>1988</v>
      </c>
      <c r="CF58">
        <f>MECS_Annual_Fuel1!K50</f>
        <v>1989</v>
      </c>
      <c r="CG58">
        <f>MECS_Annual_Fuel1!L50</f>
        <v>1990</v>
      </c>
      <c r="CH58">
        <f>MECS_Annual_Fuel1!M50</f>
        <v>1991</v>
      </c>
      <c r="CI58">
        <f>MECS_Annual_Fuel1!N50</f>
        <v>1992</v>
      </c>
      <c r="CJ58">
        <f>MECS_Annual_Fuel1!O50</f>
        <v>1993</v>
      </c>
      <c r="CK58">
        <f>MECS_Annual_Fuel1!P50</f>
        <v>1994</v>
      </c>
      <c r="CL58">
        <f>MECS_Annual_Fuel1!Q50</f>
        <v>1995</v>
      </c>
      <c r="CM58">
        <f>MECS_Annual_Fuel1!R50</f>
        <v>1996</v>
      </c>
      <c r="CN58">
        <f>MECS_Annual_Fuel1!S50</f>
        <v>1997</v>
      </c>
      <c r="CO58">
        <f>MECS_Annual_Fuel1!T50</f>
        <v>1998</v>
      </c>
      <c r="CP58">
        <f>MECS_Annual_Fuel1!U50</f>
        <v>1999</v>
      </c>
      <c r="CQ58">
        <f>MECS_Annual_Fuel1!V50</f>
        <v>2000</v>
      </c>
      <c r="CR58">
        <f>MECS_Annual_Fuel1!W50</f>
        <v>2001</v>
      </c>
      <c r="CS58">
        <f>MECS_Annual_Fuel1!X50</f>
        <v>2002</v>
      </c>
      <c r="CT58">
        <f>MECS_Annual_Fuel1!Y50</f>
        <v>2003</v>
      </c>
      <c r="CU58">
        <f>MECS_Annual_Fuel1!Z50</f>
        <v>2004</v>
      </c>
      <c r="CV58">
        <f>MECS_Annual_Fuel1!AA50</f>
        <v>2005</v>
      </c>
      <c r="CW58">
        <f>MECS_Annual_Fuel1!AB50</f>
        <v>2006</v>
      </c>
      <c r="CX58">
        <f>MECS_Annual_Fuel1!AC50</f>
        <v>2007</v>
      </c>
      <c r="CY58">
        <f>MECS_Annual_Fuel1!AD50</f>
        <v>2008</v>
      </c>
      <c r="CZ58">
        <f>MECS_Annual_Fuel1!AE50</f>
        <v>2009</v>
      </c>
      <c r="DA58">
        <f>MECS_Annual_Fuel1!AF50</f>
        <v>2010</v>
      </c>
      <c r="DB58">
        <v>2011</v>
      </c>
      <c r="DC58">
        <v>2012</v>
      </c>
      <c r="DD58">
        <v>2013</v>
      </c>
      <c r="DE58">
        <v>2014</v>
      </c>
      <c r="DF58">
        <v>2015</v>
      </c>
      <c r="DG58">
        <v>2016</v>
      </c>
      <c r="DH58">
        <v>2017</v>
      </c>
      <c r="DK58">
        <f t="shared" si="67"/>
        <v>2007</v>
      </c>
      <c r="DL58" s="44">
        <v>12902.103729277938</v>
      </c>
      <c r="DM58" s="44">
        <f>MER_Nov19_Table2.4!E71</f>
        <v>19326</v>
      </c>
      <c r="DY58">
        <f t="shared" si="80"/>
        <v>2003</v>
      </c>
      <c r="DZ58" s="49">
        <v>908.1512310074819</v>
      </c>
      <c r="EA58" s="49">
        <v>144.82060676734446</v>
      </c>
      <c r="EB58" s="49">
        <v>13.370253732879473</v>
      </c>
      <c r="EC58" s="49">
        <v>315.36572210850733</v>
      </c>
      <c r="ED58" s="49">
        <v>2062.2055493557114</v>
      </c>
      <c r="EE58" s="49">
        <v>39.692067517161526</v>
      </c>
      <c r="EF58" s="49">
        <v>2986.514133005855</v>
      </c>
      <c r="EG58" s="49">
        <v>3278.8496369605023</v>
      </c>
      <c r="EH58" s="49">
        <v>162.38700858836174</v>
      </c>
      <c r="EI58" s="49">
        <v>843.66258808021871</v>
      </c>
      <c r="EJ58" s="49">
        <v>1681.9663811639548</v>
      </c>
      <c r="EK58" s="49">
        <v>210.87604467529428</v>
      </c>
      <c r="EL58" s="49">
        <v>77.406168726625395</v>
      </c>
      <c r="EM58" s="49">
        <v>51.968914187404209</v>
      </c>
      <c r="EN58" s="49">
        <v>46.141970005738216</v>
      </c>
      <c r="EO58" s="49">
        <v>229.98821579246055</v>
      </c>
      <c r="EP58" s="49">
        <v>29.433026608129488</v>
      </c>
      <c r="EQ58" s="49">
        <v>30.337702942254708</v>
      </c>
    </row>
    <row r="59" spans="6:147" x14ac:dyDescent="0.2">
      <c r="F59" t="str">
        <f t="shared" si="84"/>
        <v>326</v>
      </c>
      <c r="G59">
        <f>MECS_Fuel!E252</f>
        <v>128.43055874180072</v>
      </c>
      <c r="H59" s="37">
        <f t="shared" si="85"/>
        <v>133.84760516468384</v>
      </c>
      <c r="I59" s="37">
        <f t="shared" si="86"/>
        <v>142.45155951341272</v>
      </c>
      <c r="J59">
        <f>MECS_Fuel!F252</f>
        <v>150.36582650079393</v>
      </c>
      <c r="K59" s="37">
        <f t="shared" si="87"/>
        <v>143.26385529558047</v>
      </c>
      <c r="L59" s="37">
        <f t="shared" si="88"/>
        <v>139.2957383287027</v>
      </c>
      <c r="M59">
        <f>MECS_Fuel!G252</f>
        <v>125.61488437265322</v>
      </c>
      <c r="N59" s="37">
        <f t="shared" si="89"/>
        <v>132.92807190666201</v>
      </c>
      <c r="O59" s="37">
        <f t="shared" si="90"/>
        <v>145.81861444258848</v>
      </c>
      <c r="P59">
        <f>MECS_Fuel!H252</f>
        <v>141.58522460569185</v>
      </c>
      <c r="Q59" s="37">
        <f t="shared" si="91"/>
        <v>143.24858507275479</v>
      </c>
      <c r="R59" s="37">
        <f t="shared" si="92"/>
        <v>149.70713400867646</v>
      </c>
      <c r="S59" s="37">
        <f t="shared" si="93"/>
        <v>148.05203066926589</v>
      </c>
      <c r="T59">
        <f>MECS_Fuel!I252</f>
        <v>144.39999600000002</v>
      </c>
      <c r="U59" s="37">
        <f t="shared" si="94"/>
        <v>155.50931366664574</v>
      </c>
      <c r="V59" s="37">
        <f t="shared" si="95"/>
        <v>163.26045037942168</v>
      </c>
      <c r="W59" s="37">
        <f t="shared" si="96"/>
        <v>167.35416280827747</v>
      </c>
      <c r="X59">
        <f>MECS_Fuel!J252</f>
        <v>166.54642800000002</v>
      </c>
      <c r="Y59" s="37">
        <f t="shared" si="97"/>
        <v>160.20750099399646</v>
      </c>
      <c r="Z59" s="37">
        <f t="shared" si="98"/>
        <v>171.5044087336351</v>
      </c>
      <c r="AA59" s="37">
        <f t="shared" si="99"/>
        <v>166.09623462999605</v>
      </c>
      <c r="AB59">
        <f>MECS_Fuel!K252</f>
        <v>153.785552</v>
      </c>
      <c r="AC59" s="37">
        <f t="shared" si="108"/>
        <v>144.06196000379629</v>
      </c>
      <c r="AD59" s="37">
        <f t="shared" si="109"/>
        <v>137.64430205404923</v>
      </c>
      <c r="AE59" s="37">
        <f t="shared" si="110"/>
        <v>111.94272030024273</v>
      </c>
      <c r="AF59" s="7">
        <f>MECS_Fuel!L252</f>
        <v>116</v>
      </c>
      <c r="AG59" s="37">
        <f t="shared" si="103"/>
        <v>114.5728873428538</v>
      </c>
      <c r="AH59" s="37">
        <f t="shared" si="104"/>
        <v>112.09663444240343</v>
      </c>
      <c r="AI59" s="37">
        <f t="shared" si="105"/>
        <v>108.59187483607725</v>
      </c>
      <c r="AJ59" s="7">
        <f>MECS_Fuel!M252</f>
        <v>104</v>
      </c>
      <c r="AK59" s="116">
        <f t="shared" ref="AK59:AM59" si="126">AK36*$AJ59</f>
        <v>105.54109379227963</v>
      </c>
      <c r="AL59" s="116">
        <f t="shared" si="126"/>
        <v>104.54255135676441</v>
      </c>
      <c r="AM59" s="116">
        <f t="shared" si="126"/>
        <v>97.83997289750954</v>
      </c>
      <c r="BJ59">
        <f t="shared" si="65"/>
        <v>2008</v>
      </c>
      <c r="BK59" s="15">
        <v>12750.609076748007</v>
      </c>
      <c r="BL59" s="15">
        <f>MECS_Annual_Fuel1!BJ59</f>
        <v>12079.741878083896</v>
      </c>
      <c r="BM59" s="15">
        <f t="shared" si="35"/>
        <v>18419.738000000001</v>
      </c>
      <c r="BN59" s="15">
        <f t="shared" si="36"/>
        <v>18419738</v>
      </c>
      <c r="CA59" t="str">
        <f>MECS_Annual_Fuel1!F51</f>
        <v>311-312</v>
      </c>
      <c r="CB59" s="7">
        <f>MECS_Annual_Fuel1!G51</f>
        <v>814.40918409036976</v>
      </c>
      <c r="CC59" s="7">
        <f>MECS_Annual_Fuel1!H51</f>
        <v>851.19749953824692</v>
      </c>
      <c r="CD59" s="7">
        <f>MECS_Annual_Fuel1!I51</f>
        <v>833.51038838632076</v>
      </c>
      <c r="CE59" s="7">
        <f>MECS_Annual_Fuel1!J51</f>
        <v>851.12053122624513</v>
      </c>
      <c r="CF59" s="7">
        <f>MECS_Annual_Fuel1!K51</f>
        <v>851.8988327684732</v>
      </c>
      <c r="CG59" s="7">
        <f>MECS_Annual_Fuel1!L51</f>
        <v>801.85853040559095</v>
      </c>
      <c r="CH59" s="7">
        <f>MECS_Annual_Fuel1!M51</f>
        <v>809.67414956814787</v>
      </c>
      <c r="CI59" s="7">
        <f>MECS_Annual_Fuel1!N51</f>
        <v>863.70158393200757</v>
      </c>
      <c r="CJ59" s="7">
        <f>MECS_Annual_Fuel1!O51</f>
        <v>926.75369383250984</v>
      </c>
      <c r="CK59" s="7">
        <f>MECS_Annual_Fuel1!P51</f>
        <v>1008.5825527109854</v>
      </c>
      <c r="CL59" s="7">
        <f>MECS_Annual_Fuel1!Q51</f>
        <v>996.91523388203518</v>
      </c>
      <c r="CM59" s="7">
        <f>MECS_Annual_Fuel1!R51</f>
        <v>865.22738818560777</v>
      </c>
      <c r="CN59" s="7">
        <f>MECS_Annual_Fuel1!S51</f>
        <v>867.68525811561415</v>
      </c>
      <c r="CO59" s="7">
        <f>MECS_Annual_Fuel1!T51</f>
        <v>914.596452</v>
      </c>
      <c r="CP59" s="7">
        <f>MECS_Annual_Fuel1!U51</f>
        <v>935.17439841307237</v>
      </c>
      <c r="CQ59" s="7">
        <f>MECS_Annual_Fuel1!V51</f>
        <v>890.52621269592521</v>
      </c>
      <c r="CR59" s="47">
        <f>MECS_Annual_Fuel1!W51*0.95</f>
        <v>981.79189817683255</v>
      </c>
      <c r="CS59" s="7">
        <f>MECS_Annual_Fuel1!X51</f>
        <v>963.55408</v>
      </c>
      <c r="CT59" s="7">
        <f>MECS_Annual_Fuel1!Y51</f>
        <v>908.1512310074819</v>
      </c>
      <c r="CU59" s="7">
        <f>MECS_Annual_Fuel1!Z51</f>
        <v>876.87404509058865</v>
      </c>
      <c r="CV59" s="7">
        <f>MECS_Annual_Fuel1!AA51</f>
        <v>881.92508034163961</v>
      </c>
      <c r="CW59" s="7">
        <f>MECS_Annual_Fuel1!AB51</f>
        <v>1014.1992240000001</v>
      </c>
      <c r="CX59" s="7">
        <f>MECS_Annual_Fuel1!AC51</f>
        <v>1017.3089008569175</v>
      </c>
      <c r="CY59" s="7">
        <f>MECS_Annual_Fuel1!AD51</f>
        <v>913.55290679421876</v>
      </c>
      <c r="CZ59" s="7">
        <f>MECS_Annual_Fuel1!AE51</f>
        <v>1082.0437976266057</v>
      </c>
      <c r="DA59" s="7">
        <f>MECS_Annual_Fuel1!AF51</f>
        <v>958</v>
      </c>
      <c r="DB59" s="7">
        <f>MECS_Annual_Fuel1!AG51</f>
        <v>962.5869918448409</v>
      </c>
      <c r="DC59" s="7">
        <f>MECS_Annual_Fuel1!AH51</f>
        <v>905.23015078882304</v>
      </c>
      <c r="DD59" s="7">
        <f>MECS_Annual_Fuel1!AI51</f>
        <v>938.49143969789179</v>
      </c>
      <c r="DE59" s="7">
        <f>MECS_Annual_Fuel1!AJ51</f>
        <v>929</v>
      </c>
      <c r="DF59" s="7">
        <f>MECS_Annual_Fuel1!AK51</f>
        <v>1030.630146776351</v>
      </c>
      <c r="DG59" s="7">
        <f>MECS_Annual_Fuel1!AL51</f>
        <v>1061.6998274548725</v>
      </c>
      <c r="DH59" s="7">
        <f>MECS_Annual_Fuel1!AM51</f>
        <v>971.69780095161491</v>
      </c>
      <c r="DI59" s="7"/>
      <c r="DK59">
        <f t="shared" si="67"/>
        <v>2008</v>
      </c>
      <c r="DL59" s="44">
        <v>12229.231348957175</v>
      </c>
      <c r="DM59" s="44">
        <f>MER_Nov19_Table2.4!E72</f>
        <v>18419.738000000001</v>
      </c>
      <c r="DY59">
        <f t="shared" si="80"/>
        <v>2004</v>
      </c>
      <c r="DZ59" s="49">
        <v>876.87404509058865</v>
      </c>
      <c r="EA59" s="49">
        <v>150.15509141889578</v>
      </c>
      <c r="EB59" s="49">
        <v>12.950620915309582</v>
      </c>
      <c r="EC59" s="49">
        <v>334.05313526607807</v>
      </c>
      <c r="ED59" s="49">
        <v>2028.3709641295484</v>
      </c>
      <c r="EE59" s="49">
        <v>39.966826921984563</v>
      </c>
      <c r="EF59" s="49">
        <v>3077.7580838021422</v>
      </c>
      <c r="EG59" s="49">
        <v>3050.2080438901307</v>
      </c>
      <c r="EH59" s="49">
        <v>156.34521408513098</v>
      </c>
      <c r="EI59" s="49">
        <v>846.35668023327139</v>
      </c>
      <c r="EJ59" s="49">
        <v>1709.7117812587637</v>
      </c>
      <c r="EK59" s="49">
        <v>206.00060290700236</v>
      </c>
      <c r="EL59" s="49">
        <v>80.038938927797375</v>
      </c>
      <c r="EM59" s="49">
        <v>42.613564787609363</v>
      </c>
      <c r="EN59" s="49">
        <v>40.590875635963556</v>
      </c>
      <c r="EO59" s="49">
        <v>241.72063665115977</v>
      </c>
      <c r="EP59" s="49">
        <v>28.467484332631365</v>
      </c>
      <c r="EQ59" s="49">
        <v>28.689353232890731</v>
      </c>
    </row>
    <row r="60" spans="6:147" x14ac:dyDescent="0.2">
      <c r="F60" t="str">
        <f t="shared" si="84"/>
        <v>327</v>
      </c>
      <c r="G60">
        <f>MECS_Fuel!E253</f>
        <v>791.01545520082436</v>
      </c>
      <c r="H60" s="37">
        <f t="shared" si="85"/>
        <v>820.21574298373901</v>
      </c>
      <c r="I60" s="37">
        <f t="shared" si="86"/>
        <v>864.25272072090831</v>
      </c>
      <c r="J60">
        <f>MECS_Fuel!F253</f>
        <v>884.64406029384702</v>
      </c>
      <c r="K60" s="37">
        <f t="shared" si="87"/>
        <v>846.73924465666107</v>
      </c>
      <c r="L60" s="37">
        <f t="shared" si="88"/>
        <v>824.6232998599811</v>
      </c>
      <c r="M60">
        <f>MECS_Fuel!G253</f>
        <v>788.81428212035598</v>
      </c>
      <c r="N60" s="37">
        <f t="shared" si="89"/>
        <v>806.45298986375963</v>
      </c>
      <c r="O60" s="37">
        <f t="shared" si="90"/>
        <v>829.45911055591841</v>
      </c>
      <c r="P60">
        <f>MECS_Fuel!H253</f>
        <v>822.05619657793363</v>
      </c>
      <c r="Q60" s="37">
        <f t="shared" si="91"/>
        <v>831.4492867887202</v>
      </c>
      <c r="R60" s="37">
        <f t="shared" si="92"/>
        <v>839.46261031731456</v>
      </c>
      <c r="S60" s="37">
        <f t="shared" si="93"/>
        <v>830.41398281608042</v>
      </c>
      <c r="T60">
        <f>MECS_Fuel!I253</f>
        <v>834.98687599999994</v>
      </c>
      <c r="U60" s="37">
        <f t="shared" si="94"/>
        <v>877.55768478053301</v>
      </c>
      <c r="V60" s="37">
        <f t="shared" si="95"/>
        <v>904.78331395435282</v>
      </c>
      <c r="W60" s="37">
        <f t="shared" si="96"/>
        <v>911.66886900924635</v>
      </c>
      <c r="X60">
        <f>MECS_Fuel!J253</f>
        <v>910.76708400000007</v>
      </c>
      <c r="Y60" s="37">
        <f t="shared" si="97"/>
        <v>896.47929577392085</v>
      </c>
      <c r="Z60" s="37">
        <f t="shared" si="98"/>
        <v>956.78605808910106</v>
      </c>
      <c r="AA60" s="37">
        <f t="shared" si="99"/>
        <v>979.05222277425401</v>
      </c>
      <c r="AB60">
        <f>MECS_Fuel!K253</f>
        <v>958.36588800000004</v>
      </c>
      <c r="AC60" s="37">
        <f t="shared" si="108"/>
        <v>918.94302467011028</v>
      </c>
      <c r="AD60" s="37">
        <f t="shared" si="109"/>
        <v>832.01834698945288</v>
      </c>
      <c r="AE60" s="37">
        <f t="shared" si="110"/>
        <v>622.95141825905012</v>
      </c>
      <c r="AF60" s="7">
        <f>MECS_Fuel!L253</f>
        <v>600</v>
      </c>
      <c r="AG60" s="37">
        <f t="shared" si="103"/>
        <v>623.89463196506142</v>
      </c>
      <c r="AH60" s="37">
        <f t="shared" si="104"/>
        <v>644.7772659842351</v>
      </c>
      <c r="AI60" s="37">
        <f t="shared" si="105"/>
        <v>663.64463007587403</v>
      </c>
      <c r="AJ60" s="7">
        <f>MECS_Fuel!M253</f>
        <v>699</v>
      </c>
      <c r="AK60" s="116">
        <f t="shared" ref="AK60:AM60" si="127">AK37*$AJ60</f>
        <v>720.05891819172143</v>
      </c>
      <c r="AL60" s="116">
        <f t="shared" si="127"/>
        <v>723.78533975302594</v>
      </c>
      <c r="AM60" s="116">
        <f t="shared" si="127"/>
        <v>713.76155007544855</v>
      </c>
      <c r="BJ60">
        <f t="shared" si="65"/>
        <v>2009</v>
      </c>
      <c r="BK60" s="15">
        <v>11246.042322398092</v>
      </c>
      <c r="BL60" s="15">
        <f>MECS_Annual_Fuel1!BJ60</f>
        <v>10850.372611996912</v>
      </c>
      <c r="BM60" s="15">
        <f t="shared" si="35"/>
        <v>16697.764999999999</v>
      </c>
      <c r="BN60" s="15">
        <f t="shared" si="36"/>
        <v>16697765</v>
      </c>
      <c r="CA60" t="str">
        <f>MECS_Annual_Fuel1!F52</f>
        <v>313-314</v>
      </c>
      <c r="CB60" s="7">
        <f>MECS_Annual_Fuel1!G52</f>
        <v>156.1414043262503</v>
      </c>
      <c r="CC60" s="7">
        <f>MECS_Annual_Fuel1!H52</f>
        <v>167.34431376858677</v>
      </c>
      <c r="CD60" s="7">
        <f>MECS_Annual_Fuel1!I52</f>
        <v>172.60133796131427</v>
      </c>
      <c r="CE60" s="7">
        <f>MECS_Annual_Fuel1!J52</f>
        <v>168.48905994885055</v>
      </c>
      <c r="CF60" s="7">
        <f>MECS_Annual_Fuel1!K52</f>
        <v>167.44427557233792</v>
      </c>
      <c r="CG60" s="7">
        <f>MECS_Annual_Fuel1!L52</f>
        <v>155.89053627343949</v>
      </c>
      <c r="CH60" s="7">
        <f>MECS_Annual_Fuel1!M52</f>
        <v>167.22964134569051</v>
      </c>
      <c r="CI60" s="7">
        <f>MECS_Annual_Fuel1!N52</f>
        <v>171.780636136151</v>
      </c>
      <c r="CJ60" s="7">
        <f>MECS_Annual_Fuel1!O52</f>
        <v>179.66474753861871</v>
      </c>
      <c r="CK60" s="7">
        <f>MECS_Annual_Fuel1!P52</f>
        <v>192.94392268146368</v>
      </c>
      <c r="CL60" s="7">
        <f>MECS_Annual_Fuel1!Q52</f>
        <v>190.8904946076554</v>
      </c>
      <c r="CM60" s="7">
        <f>MECS_Annual_Fuel1!R52</f>
        <v>167.09700979934172</v>
      </c>
      <c r="CN60" s="7">
        <f>MECS_Annual_Fuel1!S52</f>
        <v>170.57022786370626</v>
      </c>
      <c r="CO60" s="7">
        <f>MECS_Annual_Fuel1!T52</f>
        <v>183.883668</v>
      </c>
      <c r="CP60" s="7">
        <f>MECS_Annual_Fuel1!U52</f>
        <v>187.31181548387343</v>
      </c>
      <c r="CQ60" s="7">
        <f>MECS_Annual_Fuel1!V52</f>
        <v>156.99410743381722</v>
      </c>
      <c r="CR60" s="7">
        <f>MECS_Annual_Fuel1!W52</f>
        <v>156.54886822367064</v>
      </c>
      <c r="CS60" s="7">
        <f>MECS_Annual_Fuel1!X52</f>
        <v>161.77534800000001</v>
      </c>
      <c r="CT60" s="7">
        <f>MECS_Annual_Fuel1!Y52</f>
        <v>144.82060676734446</v>
      </c>
      <c r="CU60" s="7">
        <f>MECS_Annual_Fuel1!Z52</f>
        <v>150.15509141889578</v>
      </c>
      <c r="CV60" s="7">
        <f>MECS_Annual_Fuel1!AA52</f>
        <v>157.5923565830285</v>
      </c>
      <c r="CW60" s="7">
        <f>MECS_Annual_Fuel1!AB52</f>
        <v>164.407712</v>
      </c>
      <c r="CX60" s="7">
        <f>MECS_Annual_Fuel1!AC52</f>
        <v>117.72476201119797</v>
      </c>
      <c r="CY60" s="7">
        <f>MECS_Annual_Fuel1!AD52</f>
        <v>100.10391940983209</v>
      </c>
      <c r="CZ60" s="7">
        <f>MECS_Annual_Fuel1!AE52</f>
        <v>92.386077520771678</v>
      </c>
      <c r="DA60" s="7">
        <f>MECS_Annual_Fuel1!AF52</f>
        <v>62</v>
      </c>
      <c r="DB60" s="7">
        <f>MECS_Annual_Fuel1!AG52</f>
        <v>63.735355866562557</v>
      </c>
      <c r="DC60" s="7">
        <f>MECS_Annual_Fuel1!AH52</f>
        <v>65.232230776731996</v>
      </c>
      <c r="DD60" s="7">
        <f>MECS_Annual_Fuel1!AI52</f>
        <v>70.717952789685583</v>
      </c>
      <c r="DE60" s="7">
        <f>MECS_Annual_Fuel1!AJ52</f>
        <v>72</v>
      </c>
      <c r="DF60" s="7">
        <f>MECS_Annual_Fuel1!AK52</f>
        <v>74.509049446669465</v>
      </c>
      <c r="DG60" s="7">
        <f>MECS_Annual_Fuel1!AL52</f>
        <v>78.338211968875697</v>
      </c>
      <c r="DH60" s="7">
        <f>MECS_Annual_Fuel1!AM52</f>
        <v>58.42197502449914</v>
      </c>
      <c r="DI60" s="7"/>
      <c r="DK60">
        <f t="shared" si="67"/>
        <v>2009</v>
      </c>
      <c r="DL60" s="44">
        <v>11278.299924045068</v>
      </c>
      <c r="DM60" s="44">
        <f>MER_Nov19_Table2.4!E73</f>
        <v>16697.764999999999</v>
      </c>
      <c r="DY60">
        <f t="shared" si="80"/>
        <v>2005</v>
      </c>
      <c r="DZ60" s="49">
        <v>881.92508034163961</v>
      </c>
      <c r="EA60" s="49">
        <v>157.5923565830285</v>
      </c>
      <c r="EB60" s="49">
        <v>10.444249462603306</v>
      </c>
      <c r="EC60" s="49">
        <v>328.05195783490865</v>
      </c>
      <c r="ED60" s="49">
        <v>2041.520676975912</v>
      </c>
      <c r="EE60" s="49">
        <v>36.753303021623331</v>
      </c>
      <c r="EF60" s="49">
        <v>3370.7901598183917</v>
      </c>
      <c r="EG60" s="49">
        <v>2799.0993758095683</v>
      </c>
      <c r="EH60" s="49">
        <v>150.24560489044413</v>
      </c>
      <c r="EI60" s="49">
        <v>887.23108283057456</v>
      </c>
      <c r="EJ60" s="49">
        <v>1414.7412336622619</v>
      </c>
      <c r="EK60" s="49">
        <v>209.91812999611622</v>
      </c>
      <c r="EL60" s="49">
        <v>81.01961365117613</v>
      </c>
      <c r="EM60" s="49">
        <v>42.539054285313028</v>
      </c>
      <c r="EN60" s="49">
        <v>39.675361294282581</v>
      </c>
      <c r="EO60" s="49">
        <v>235.38043019571958</v>
      </c>
      <c r="EP60" s="49">
        <v>26.177017904743494</v>
      </c>
      <c r="EQ60" s="49">
        <v>27.696006039892389</v>
      </c>
    </row>
    <row r="61" spans="6:147" x14ac:dyDescent="0.2">
      <c r="F61" t="str">
        <f t="shared" si="84"/>
        <v>331</v>
      </c>
      <c r="G61">
        <f>MECS_Fuel!E254</f>
        <v>1931.5726855408925</v>
      </c>
      <c r="H61" s="37">
        <f t="shared" si="85"/>
        <v>1805.7802120918529</v>
      </c>
      <c r="I61" s="37">
        <f t="shared" si="86"/>
        <v>1867.1971255253011</v>
      </c>
      <c r="J61">
        <f>MECS_Fuel!F254</f>
        <v>2134.8918237453663</v>
      </c>
      <c r="K61" s="37">
        <f t="shared" si="87"/>
        <v>2012.8905561212518</v>
      </c>
      <c r="L61" s="37">
        <f t="shared" si="88"/>
        <v>1909.4588165863522</v>
      </c>
      <c r="M61">
        <f>MECS_Fuel!G254</f>
        <v>1811.54797443144</v>
      </c>
      <c r="N61" s="37">
        <f t="shared" si="89"/>
        <v>1889.6726423006169</v>
      </c>
      <c r="O61" s="37">
        <f t="shared" si="90"/>
        <v>1940.9642984314207</v>
      </c>
      <c r="P61">
        <f>MECS_Fuel!H254</f>
        <v>2096.657607556745</v>
      </c>
      <c r="Q61" s="37">
        <f t="shared" si="91"/>
        <v>2090.3737186035291</v>
      </c>
      <c r="R61" s="37">
        <f t="shared" si="92"/>
        <v>2151.9544910492323</v>
      </c>
      <c r="S61" s="37">
        <f t="shared" si="93"/>
        <v>2049.7360864321095</v>
      </c>
      <c r="T61">
        <f>MECS_Fuel!I254</f>
        <v>2031.356088</v>
      </c>
      <c r="U61" s="37">
        <f t="shared" si="94"/>
        <v>1979.0971174863726</v>
      </c>
      <c r="V61" s="37">
        <f t="shared" si="95"/>
        <v>1913.347390803626</v>
      </c>
      <c r="W61" s="37">
        <f t="shared" si="96"/>
        <v>1637.7794846195036</v>
      </c>
      <c r="X61">
        <f>MECS_Fuel!J254</f>
        <v>1629.9591760000001</v>
      </c>
      <c r="Y61" s="37">
        <f t="shared" si="97"/>
        <v>1474.9035192685992</v>
      </c>
      <c r="Z61" s="37">
        <f t="shared" si="98"/>
        <v>1433.4622576077199</v>
      </c>
      <c r="AA61" s="37">
        <f t="shared" si="99"/>
        <v>1406.9952406132331</v>
      </c>
      <c r="AB61">
        <f>MECS_Fuel!K254</f>
        <v>1285.6831</v>
      </c>
      <c r="AC61" s="37">
        <f t="shared" si="108"/>
        <v>1375.7207200545015</v>
      </c>
      <c r="AD61" s="37">
        <f t="shared" si="109"/>
        <v>1420.8650091404038</v>
      </c>
      <c r="AE61" s="37">
        <f t="shared" si="110"/>
        <v>1083.9834985167681</v>
      </c>
      <c r="AF61" s="7">
        <f>MECS_Fuel!L254</f>
        <v>1255</v>
      </c>
      <c r="AG61" s="37">
        <f t="shared" si="103"/>
        <v>1445.9799984999161</v>
      </c>
      <c r="AH61" s="37">
        <f t="shared" si="104"/>
        <v>1408.1293295618261</v>
      </c>
      <c r="AI61" s="37">
        <f t="shared" si="105"/>
        <v>1292.5838548497866</v>
      </c>
      <c r="AJ61" s="7">
        <f>MECS_Fuel!M254</f>
        <v>1251</v>
      </c>
      <c r="AK61" s="116">
        <f t="shared" ref="AK61:AM61" si="128">AK38*$AJ61</f>
        <v>1224.0493553581957</v>
      </c>
      <c r="AL61" s="116">
        <f t="shared" si="128"/>
        <v>1025.5862107176526</v>
      </c>
      <c r="AM61" s="116">
        <f t="shared" si="128"/>
        <v>1023.2703637598183</v>
      </c>
      <c r="BJ61">
        <f t="shared" si="65"/>
        <v>2010</v>
      </c>
      <c r="BK61" s="15">
        <v>11795</v>
      </c>
      <c r="BL61" s="15">
        <f>MECS_Annual_Fuel1!BJ61</f>
        <v>11795</v>
      </c>
      <c r="BM61" s="15">
        <f t="shared" si="35"/>
        <v>17986.692999999999</v>
      </c>
      <c r="BN61" s="15">
        <f t="shared" si="36"/>
        <v>17986693</v>
      </c>
      <c r="CA61" t="str">
        <f>MECS_Annual_Fuel1!F53</f>
        <v>315-316</v>
      </c>
      <c r="CB61" s="7">
        <f>MECS_Annual_Fuel1!G53</f>
        <v>27.870927218965459</v>
      </c>
      <c r="CC61" s="7">
        <f>MECS_Annual_Fuel1!H53</f>
        <v>38.210686463826796</v>
      </c>
      <c r="CD61" s="7">
        <f>MECS_Annual_Fuel1!I53</f>
        <v>41.21594313846515</v>
      </c>
      <c r="CE61" s="7">
        <f>MECS_Annual_Fuel1!J53</f>
        <v>46.203934666809843</v>
      </c>
      <c r="CF61" s="7">
        <f>MECS_Annual_Fuel1!K53</f>
        <v>38.72494633334945</v>
      </c>
      <c r="CG61" s="7">
        <f>MECS_Annual_Fuel1!L53</f>
        <v>34.234269572907131</v>
      </c>
      <c r="CH61" s="7">
        <f>MECS_Annual_Fuel1!M53</f>
        <v>36.963147733447869</v>
      </c>
      <c r="CI61" s="7">
        <f>MECS_Annual_Fuel1!N53</f>
        <v>37.95122991416855</v>
      </c>
      <c r="CJ61" s="7">
        <f>MECS_Annual_Fuel1!O53</f>
        <v>38.969253979153493</v>
      </c>
      <c r="CK61" s="7">
        <f>MECS_Annual_Fuel1!P53</f>
        <v>39.957336159874167</v>
      </c>
      <c r="CL61" s="7">
        <f>MECS_Annual_Fuel1!Q53</f>
        <v>44.512636188125661</v>
      </c>
      <c r="CM61" s="7">
        <f>MECS_Annual_Fuel1!R53</f>
        <v>36.045490006918435</v>
      </c>
      <c r="CN61" s="7">
        <f>MECS_Annual_Fuel1!S53</f>
        <v>34.309579022565551</v>
      </c>
      <c r="CO61" s="7">
        <f>MECS_Annual_Fuel1!T53</f>
        <v>35.487055999999995</v>
      </c>
      <c r="CP61" s="7">
        <f>MECS_Annual_Fuel1!U53</f>
        <v>34.727399494976886</v>
      </c>
      <c r="CQ61" s="7">
        <f>MECS_Annual_Fuel1!V53</f>
        <v>27.828729813053091</v>
      </c>
      <c r="CR61" s="7">
        <f>MECS_Annual_Fuel1!W53</f>
        <v>25.821803000550606</v>
      </c>
      <c r="CS61" s="7">
        <f>MECS_Annual_Fuel1!X53</f>
        <v>22.314752000000002</v>
      </c>
      <c r="CT61" s="7">
        <f>MECS_Annual_Fuel1!Y53</f>
        <v>13.370253732879473</v>
      </c>
      <c r="CU61" s="7">
        <f>MECS_Annual_Fuel1!Z53</f>
        <v>12.950620915309582</v>
      </c>
      <c r="CV61" s="7">
        <f>MECS_Annual_Fuel1!AA53</f>
        <v>10.444249462603306</v>
      </c>
      <c r="CW61" s="7">
        <f>MECS_Annual_Fuel1!AB53</f>
        <v>8.7224880000000002</v>
      </c>
      <c r="CX61" s="7">
        <f>MECS_Annual_Fuel1!AC53</f>
        <v>5.5487247592447062</v>
      </c>
      <c r="CY61" s="7">
        <f>MECS_Annual_Fuel1!AD53</f>
        <v>2.9930445873252332</v>
      </c>
      <c r="CZ61" s="7">
        <f>MECS_Annual_Fuel1!AE53</f>
        <v>3.526210661636902</v>
      </c>
      <c r="DA61" s="7">
        <f>MECS_Annual_Fuel1!AF53</f>
        <v>3</v>
      </c>
      <c r="DB61" s="7">
        <f>MECS_Annual_Fuel1!AG53</f>
        <v>3.4834106866991101</v>
      </c>
      <c r="DC61" s="7">
        <f>MECS_Annual_Fuel1!AH53</f>
        <v>2.8834010636912977</v>
      </c>
      <c r="DD61" s="7">
        <f>MECS_Annual_Fuel1!AI53</f>
        <v>2.9774098793298824</v>
      </c>
      <c r="DE61" s="7">
        <f>MECS_Annual_Fuel1!AJ53</f>
        <v>3</v>
      </c>
      <c r="DF61" s="7">
        <f>MECS_Annual_Fuel1!AK53</f>
        <v>4.4320835988412783</v>
      </c>
      <c r="DG61" s="7">
        <f>MECS_Annual_Fuel1!AL53</f>
        <v>4.9647133073011736</v>
      </c>
      <c r="DH61" s="7">
        <f>MECS_Annual_Fuel1!AM53</f>
        <v>4.2770219585491782</v>
      </c>
      <c r="DI61" s="7"/>
      <c r="DK61">
        <f t="shared" si="67"/>
        <v>2010</v>
      </c>
      <c r="DL61" s="44">
        <v>11795</v>
      </c>
      <c r="DM61" s="44">
        <f>MER_Nov19_Table2.4!E74</f>
        <v>17986.692999999999</v>
      </c>
      <c r="DY61">
        <f t="shared" si="80"/>
        <v>2006</v>
      </c>
      <c r="DZ61" s="49">
        <v>1014.1992240000001</v>
      </c>
      <c r="EA61" s="49">
        <v>164.407712</v>
      </c>
      <c r="EB61" s="49">
        <v>8.7224880000000002</v>
      </c>
      <c r="EC61" s="49">
        <v>353.821124</v>
      </c>
      <c r="ED61" s="49">
        <v>2106.5685840000001</v>
      </c>
      <c r="EE61" s="49">
        <v>40.374451999999998</v>
      </c>
      <c r="EF61" s="49">
        <v>3259.0627920000002</v>
      </c>
      <c r="EG61" s="49">
        <v>2677.7578599999997</v>
      </c>
      <c r="EH61" s="49">
        <v>153.785552</v>
      </c>
      <c r="EI61" s="49">
        <v>958.36588800000004</v>
      </c>
      <c r="EJ61" s="49">
        <v>1285.6831</v>
      </c>
      <c r="EK61" s="49">
        <v>253.81542000000002</v>
      </c>
      <c r="EL61" s="49">
        <v>93.471671999999998</v>
      </c>
      <c r="EM61" s="49">
        <v>47.139291999999998</v>
      </c>
      <c r="EN61" s="49">
        <v>43.097796000000002</v>
      </c>
      <c r="EO61" s="49">
        <v>283.93937199999999</v>
      </c>
      <c r="EP61" s="49">
        <v>28.391231999999999</v>
      </c>
      <c r="EQ61" s="49">
        <v>32.982075999999999</v>
      </c>
    </row>
    <row r="62" spans="6:147" x14ac:dyDescent="0.2">
      <c r="F62" t="str">
        <f t="shared" si="84"/>
        <v>332</v>
      </c>
      <c r="G62">
        <f>MECS_Fuel!E255</f>
        <v>218.6220851003327</v>
      </c>
      <c r="H62" s="37">
        <f t="shared" si="85"/>
        <v>211.46793122626133</v>
      </c>
      <c r="I62" s="37">
        <f t="shared" si="86"/>
        <v>240.91997523927262</v>
      </c>
      <c r="J62">
        <f>MECS_Fuel!F255</f>
        <v>251.14969713900282</v>
      </c>
      <c r="K62" s="37">
        <f t="shared" si="87"/>
        <v>241.18277568856524</v>
      </c>
      <c r="L62" s="37">
        <f t="shared" si="88"/>
        <v>232.7480721271657</v>
      </c>
      <c r="M62">
        <f>MECS_Fuel!G255</f>
        <v>217.28105279356296</v>
      </c>
      <c r="N62" s="37">
        <f t="shared" si="89"/>
        <v>229.87900221393122</v>
      </c>
      <c r="O62" s="37">
        <f t="shared" si="90"/>
        <v>252.15796059187429</v>
      </c>
      <c r="P62">
        <f>MECS_Fuel!H255</f>
        <v>263.57968281835372</v>
      </c>
      <c r="Q62" s="37">
        <f t="shared" si="91"/>
        <v>266.52941665942734</v>
      </c>
      <c r="R62" s="37">
        <f t="shared" si="92"/>
        <v>266.15273924874344</v>
      </c>
      <c r="S62" s="37">
        <f t="shared" si="93"/>
        <v>267.76592061143197</v>
      </c>
      <c r="T62">
        <f>MECS_Fuel!I255</f>
        <v>265.28541200000001</v>
      </c>
      <c r="U62" s="37">
        <f t="shared" si="94"/>
        <v>273.29141435783782</v>
      </c>
      <c r="V62" s="37">
        <f t="shared" si="95"/>
        <v>275.42995232882038</v>
      </c>
      <c r="W62" s="37">
        <f t="shared" si="96"/>
        <v>262.49739365323751</v>
      </c>
      <c r="X62">
        <f>MECS_Fuel!J255</f>
        <v>226.21632399999999</v>
      </c>
      <c r="Y62" s="37">
        <f t="shared" si="97"/>
        <v>225.40183295182362</v>
      </c>
      <c r="Z62" s="37">
        <f t="shared" si="98"/>
        <v>253.25956503512833</v>
      </c>
      <c r="AA62" s="37">
        <f t="shared" si="99"/>
        <v>263.47269179298661</v>
      </c>
      <c r="AB62">
        <f>MECS_Fuel!K255</f>
        <v>253.81542000000002</v>
      </c>
      <c r="AC62" s="37">
        <f t="shared" si="108"/>
        <v>225.8247089281079</v>
      </c>
      <c r="AD62" s="37">
        <f t="shared" si="109"/>
        <v>225.90301651132506</v>
      </c>
      <c r="AE62" s="37">
        <f t="shared" si="110"/>
        <v>169.65054112606632</v>
      </c>
      <c r="AF62" s="7">
        <f>MECS_Fuel!L255</f>
        <v>174</v>
      </c>
      <c r="AG62" s="37">
        <f t="shared" si="103"/>
        <v>193.42814378888048</v>
      </c>
      <c r="AH62" s="37">
        <f t="shared" si="104"/>
        <v>186.00502457302662</v>
      </c>
      <c r="AI62" s="37">
        <f t="shared" si="105"/>
        <v>194.42770583294933</v>
      </c>
      <c r="AJ62" s="7">
        <f>MECS_Fuel!M255</f>
        <v>201</v>
      </c>
      <c r="AK62" s="116">
        <f t="shared" ref="AK62:AM62" si="129">AK39*$AJ62</f>
        <v>198.38108949403755</v>
      </c>
      <c r="AL62" s="116">
        <f t="shared" si="129"/>
        <v>192.24474079899031</v>
      </c>
      <c r="AM62" s="116">
        <f t="shared" si="129"/>
        <v>183.36103025354547</v>
      </c>
      <c r="BJ62">
        <v>2011</v>
      </c>
      <c r="BK62" s="15">
        <v>12423.025844770134</v>
      </c>
      <c r="BL62" s="15">
        <f>MECS_Annual_Fuel1!BJ62</f>
        <v>11661.920733035413</v>
      </c>
      <c r="BM62" s="15">
        <f t="shared" ref="BM62:BM65" si="130">BN62*0.001</f>
        <v>18092.227999999999</v>
      </c>
      <c r="BN62" s="15">
        <f t="shared" si="36"/>
        <v>18092228</v>
      </c>
      <c r="CA62" t="str">
        <f>MECS_Annual_Fuel1!F54</f>
        <v>321</v>
      </c>
      <c r="CB62" s="7">
        <f>MECS_Annual_Fuel1!G54</f>
        <v>248.79987339144392</v>
      </c>
      <c r="CC62" s="7">
        <f>MECS_Annual_Fuel1!H54</f>
        <v>255.75096288820842</v>
      </c>
      <c r="CD62" s="7">
        <f>MECS_Annual_Fuel1!I54</f>
        <v>293.32052036990052</v>
      </c>
      <c r="CE62" s="7">
        <f>MECS_Annual_Fuel1!J54</f>
        <v>302.60197307912358</v>
      </c>
      <c r="CF62" s="7">
        <f>MECS_Annual_Fuel1!K54</f>
        <v>314.98874210000514</v>
      </c>
      <c r="CG62" s="7">
        <f>MECS_Annual_Fuel1!L54</f>
        <v>317.55370658139748</v>
      </c>
      <c r="CH62" s="7">
        <f>MECS_Annual_Fuel1!M54</f>
        <v>314.83245355703338</v>
      </c>
      <c r="CI62" s="7">
        <f>MECS_Annual_Fuel1!N54</f>
        <v>285.65263466533662</v>
      </c>
      <c r="CJ62" s="7">
        <f>MECS_Annual_Fuel1!O54</f>
        <v>308.99770621726981</v>
      </c>
      <c r="CK62" s="7">
        <f>MECS_Annual_Fuel1!P54</f>
        <v>319.45866435321039</v>
      </c>
      <c r="CL62" s="7">
        <f>MECS_Annual_Fuel1!Q54</f>
        <v>373.11340884966961</v>
      </c>
      <c r="CM62" s="7">
        <f>MECS_Annual_Fuel1!R54</f>
        <v>354.43765969546752</v>
      </c>
      <c r="CN62" s="7">
        <f>MECS_Annual_Fuel1!S54</f>
        <v>351.22789070081427</v>
      </c>
      <c r="CO62" s="7">
        <f>MECS_Annual_Fuel1!T54</f>
        <v>431.76796000000002</v>
      </c>
      <c r="CP62" s="7">
        <f>MECS_Annual_Fuel1!U54</f>
        <v>456.65878470026882</v>
      </c>
      <c r="CQ62" s="7">
        <f>MECS_Annual_Fuel1!V54</f>
        <v>395.38550253374592</v>
      </c>
      <c r="CR62" s="7">
        <f>MECS_Annual_Fuel1!W54</f>
        <v>334.95065632387758</v>
      </c>
      <c r="CS62" s="7">
        <f>MECS_Annual_Fuel1!X54</f>
        <v>303.39918</v>
      </c>
      <c r="CT62" s="7">
        <f>MECS_Annual_Fuel1!Y54</f>
        <v>315.36572210850733</v>
      </c>
      <c r="CU62" s="7">
        <f>MECS_Annual_Fuel1!Z54</f>
        <v>334.05313526607807</v>
      </c>
      <c r="CV62" s="7">
        <f>MECS_Annual_Fuel1!AA54</f>
        <v>328.05195783490865</v>
      </c>
      <c r="CW62" s="7">
        <f>MECS_Annual_Fuel1!AB54</f>
        <v>353.821124</v>
      </c>
      <c r="CX62" s="7">
        <f>MECS_Annual_Fuel1!AC54</f>
        <v>384.72650075395597</v>
      </c>
      <c r="CY62" s="7">
        <f>MECS_Annual_Fuel1!AD54</f>
        <v>340.75137141804316</v>
      </c>
      <c r="CZ62" s="7">
        <f>MECS_Annual_Fuel1!AE54</f>
        <v>349.87643313649335</v>
      </c>
      <c r="DA62" s="7">
        <f>MECS_Annual_Fuel1!AF54</f>
        <v>418</v>
      </c>
      <c r="DB62" s="7">
        <f>MECS_Annual_Fuel1!AG54</f>
        <v>344.71258871576003</v>
      </c>
      <c r="DC62" s="7">
        <f>MECS_Annual_Fuel1!AH54</f>
        <v>268.15711778672494</v>
      </c>
      <c r="DD62" s="7">
        <f>MECS_Annual_Fuel1!AI54</f>
        <v>299.38234805307519</v>
      </c>
      <c r="DE62" s="7">
        <f>MECS_Annual_Fuel1!AJ54</f>
        <v>311</v>
      </c>
      <c r="DF62" s="7">
        <f>MECS_Annual_Fuel1!AK54</f>
        <v>386.26514793818404</v>
      </c>
      <c r="DG62" s="7">
        <f>MECS_Annual_Fuel1!AL54</f>
        <v>429.30426619607431</v>
      </c>
      <c r="DH62" s="7">
        <f>MECS_Annual_Fuel1!AM54</f>
        <v>458.23367249135623</v>
      </c>
      <c r="DI62" s="7"/>
      <c r="DK62">
        <v>2011</v>
      </c>
      <c r="DL62" s="44">
        <v>11661.920733035413</v>
      </c>
      <c r="DM62" s="44">
        <f>MER_Nov19_Table2.4!E75</f>
        <v>18092.227999999999</v>
      </c>
      <c r="DY62">
        <f t="shared" si="80"/>
        <v>2007</v>
      </c>
      <c r="DZ62" s="49">
        <v>1017.3089008569175</v>
      </c>
      <c r="EA62" s="49">
        <v>117.72476201119797</v>
      </c>
      <c r="EB62" s="49">
        <v>5.5487247592447062</v>
      </c>
      <c r="EC62" s="49">
        <v>384.72650075395597</v>
      </c>
      <c r="ED62" s="49">
        <v>2090.1212360058084</v>
      </c>
      <c r="EE62" s="49">
        <v>40.901224952433246</v>
      </c>
      <c r="EF62" s="49">
        <v>3233.695904757873</v>
      </c>
      <c r="EG62" s="49">
        <v>2824.531653445953</v>
      </c>
      <c r="EH62" s="49">
        <v>143.10994103075981</v>
      </c>
      <c r="EI62" s="49">
        <v>888.6890971564701</v>
      </c>
      <c r="EJ62" s="49">
        <v>1398.596658536504</v>
      </c>
      <c r="EK62" s="49">
        <v>236.27608038255704</v>
      </c>
      <c r="EL62" s="49">
        <v>100.2520387130355</v>
      </c>
      <c r="EM62" s="49">
        <v>59.317149731278079</v>
      </c>
      <c r="EN62" s="49">
        <v>45.825803281131591</v>
      </c>
      <c r="EO62" s="49">
        <v>255.92503066606668</v>
      </c>
      <c r="EP62" s="49">
        <v>27.714561877145339</v>
      </c>
      <c r="EQ62" s="49">
        <v>31.838460359608138</v>
      </c>
    </row>
    <row r="63" spans="6:147" x14ac:dyDescent="0.2">
      <c r="F63" t="str">
        <f t="shared" si="84"/>
        <v>333</v>
      </c>
      <c r="G63">
        <f>MECS_Fuel!E256</f>
        <v>118.55685257512636</v>
      </c>
      <c r="H63" s="37">
        <f t="shared" si="85"/>
        <v>116.98714978306386</v>
      </c>
      <c r="I63" s="37">
        <f t="shared" si="86"/>
        <v>132.05023472720444</v>
      </c>
      <c r="J63">
        <f>MECS_Fuel!F256</f>
        <v>138.88393804304263</v>
      </c>
      <c r="K63" s="37">
        <f t="shared" si="87"/>
        <v>132.91732711490641</v>
      </c>
      <c r="L63" s="37">
        <f t="shared" si="88"/>
        <v>128.97297637763342</v>
      </c>
      <c r="M63">
        <f>MECS_Fuel!G256</f>
        <v>113.47965946591772</v>
      </c>
      <c r="N63" s="37">
        <f t="shared" si="89"/>
        <v>110.70250083204449</v>
      </c>
      <c r="O63" s="37">
        <f t="shared" si="90"/>
        <v>109.43334905227904</v>
      </c>
      <c r="P63">
        <f>MECS_Fuel!H256</f>
        <v>112.92234511482371</v>
      </c>
      <c r="Q63" s="37">
        <f t="shared" si="91"/>
        <v>113.29739747524695</v>
      </c>
      <c r="R63" s="37">
        <f t="shared" si="92"/>
        <v>113.4502406130739</v>
      </c>
      <c r="S63" s="37">
        <f t="shared" si="93"/>
        <v>117.23713567672351</v>
      </c>
      <c r="T63">
        <f>MECS_Fuel!I256</f>
        <v>116.85666400000001</v>
      </c>
      <c r="U63" s="37">
        <f t="shared" si="94"/>
        <v>111.14191772589813</v>
      </c>
      <c r="V63" s="37">
        <f t="shared" si="95"/>
        <v>112.3236890404506</v>
      </c>
      <c r="W63" s="37">
        <f t="shared" si="96"/>
        <v>106.23843340074862</v>
      </c>
      <c r="X63">
        <f>MECS_Fuel!J256</f>
        <v>91.191044000000005</v>
      </c>
      <c r="Y63" s="37">
        <f t="shared" si="97"/>
        <v>85.205475557351576</v>
      </c>
      <c r="Z63" s="37">
        <f t="shared" si="98"/>
        <v>94.248781567234332</v>
      </c>
      <c r="AA63" s="37">
        <f t="shared" si="99"/>
        <v>95.608722533186722</v>
      </c>
      <c r="AB63">
        <f>MECS_Fuel!K256</f>
        <v>93.471671999999998</v>
      </c>
      <c r="AC63" s="37">
        <f t="shared" si="108"/>
        <v>94.334403800648914</v>
      </c>
      <c r="AD63" s="37">
        <f t="shared" si="109"/>
        <v>94.429918479184096</v>
      </c>
      <c r="AE63" s="37">
        <f t="shared" si="110"/>
        <v>76.003760495764595</v>
      </c>
      <c r="AF63" s="7">
        <f>MECS_Fuel!L256</f>
        <v>78</v>
      </c>
      <c r="AG63" s="37">
        <f t="shared" si="103"/>
        <v>85.458880818563429</v>
      </c>
      <c r="AH63" s="37">
        <f t="shared" si="104"/>
        <v>81.030584847714223</v>
      </c>
      <c r="AI63" s="37">
        <f t="shared" si="105"/>
        <v>82.213031813224148</v>
      </c>
      <c r="AJ63" s="7">
        <f>MECS_Fuel!M256</f>
        <v>84</v>
      </c>
      <c r="AK63" s="116">
        <f t="shared" ref="AK63:AM63" si="131">AK40*$AJ63</f>
        <v>81.531501178894231</v>
      </c>
      <c r="AL63" s="116">
        <f t="shared" si="131"/>
        <v>80.273406572215322</v>
      </c>
      <c r="AM63" s="116">
        <f t="shared" si="131"/>
        <v>77.461951769105639</v>
      </c>
      <c r="BJ63">
        <v>2012</v>
      </c>
      <c r="BK63" s="15">
        <v>12361.558379338943</v>
      </c>
      <c r="BL63" s="15">
        <f>MECS_Annual_Fuel1!BJ63</f>
        <v>11017.078970851395</v>
      </c>
      <c r="BM63" s="15">
        <f t="shared" si="130"/>
        <v>18404.710999999999</v>
      </c>
      <c r="BN63" s="15">
        <f t="shared" si="36"/>
        <v>18404711</v>
      </c>
      <c r="CA63" t="str">
        <f>MECS_Annual_Fuel1!F55</f>
        <v>322</v>
      </c>
      <c r="CB63" s="7">
        <f>MECS_Annual_Fuel1!G55</f>
        <v>2017.3632372266716</v>
      </c>
      <c r="CC63" s="7">
        <f>MECS_Annual_Fuel1!H55</f>
        <v>1985.8799822003309</v>
      </c>
      <c r="CD63" s="7">
        <f>MECS_Annual_Fuel1!I55</f>
        <v>2039.394142819116</v>
      </c>
      <c r="CE63" s="7">
        <f>MECS_Annual_Fuel1!J55</f>
        <v>2153.9562641132611</v>
      </c>
      <c r="CF63" s="7">
        <f>MECS_Annual_Fuel1!K55</f>
        <v>2186.1253063093668</v>
      </c>
      <c r="CG63" s="7">
        <f>MECS_Annual_Fuel1!L55</f>
        <v>2232.4561523667417</v>
      </c>
      <c r="CH63" s="7">
        <f>MECS_Annual_Fuel1!M55</f>
        <v>2267.2367478194155</v>
      </c>
      <c r="CI63" s="7">
        <f>MECS_Annual_Fuel1!N55</f>
        <v>2376.8968151839495</v>
      </c>
      <c r="CJ63" s="7">
        <f>MECS_Annual_Fuel1!O55</f>
        <v>2413.860058955303</v>
      </c>
      <c r="CK63" s="7">
        <f>MECS_Annual_Fuel1!P55</f>
        <v>2406.5414497255788</v>
      </c>
      <c r="CL63" s="7">
        <f>MECS_Annual_Fuel1!Q55</f>
        <v>2475.1031059942475</v>
      </c>
      <c r="CM63" s="7">
        <f>MECS_Annual_Fuel1!R55</f>
        <v>2445.7058531055864</v>
      </c>
      <c r="CN63" s="7">
        <f>MECS_Annual_Fuel1!S55</f>
        <v>2444.4671078929837</v>
      </c>
      <c r="CO63" s="7">
        <f>MECS_Annual_Fuel1!T55</f>
        <v>2503.918032</v>
      </c>
      <c r="CP63" s="7">
        <f>MECS_Annual_Fuel1!U55</f>
        <v>2465.1884562264563</v>
      </c>
      <c r="CQ63" s="7">
        <f>MECS_Annual_Fuel1!V55</f>
        <v>2357.2657029108259</v>
      </c>
      <c r="CR63" s="7">
        <f>MECS_Annual_Fuel1!W55</f>
        <v>2298.5199852617166</v>
      </c>
      <c r="CS63" s="7">
        <f>MECS_Annual_Fuel1!X55</f>
        <v>2137.503764</v>
      </c>
      <c r="CT63" s="7">
        <f>MECS_Annual_Fuel1!Y55</f>
        <v>2062.2055493557114</v>
      </c>
      <c r="CU63" s="7">
        <f>MECS_Annual_Fuel1!Z55</f>
        <v>2028.3709641295484</v>
      </c>
      <c r="CV63" s="7">
        <f>MECS_Annual_Fuel1!AA55</f>
        <v>2041.520676975912</v>
      </c>
      <c r="CW63" s="7">
        <f>MECS_Annual_Fuel1!AB55</f>
        <v>2106.5685840000001</v>
      </c>
      <c r="CX63" s="7">
        <f>MECS_Annual_Fuel1!AC55</f>
        <v>2090.1212360058084</v>
      </c>
      <c r="CY63" s="7">
        <f>MECS_Annual_Fuel1!AD55</f>
        <v>1905.2774059551602</v>
      </c>
      <c r="CZ63" s="7">
        <f>MECS_Annual_Fuel1!AE55</f>
        <v>1774.044580052572</v>
      </c>
      <c r="DA63" s="7">
        <f>MECS_Annual_Fuel1!AF55</f>
        <v>1904</v>
      </c>
      <c r="DB63" s="7">
        <f>MECS_Annual_Fuel1!AG55</f>
        <v>1722.0786392639382</v>
      </c>
      <c r="DC63" s="7">
        <f>MECS_Annual_Fuel1!AH55</f>
        <v>1678.8466954510259</v>
      </c>
      <c r="DD63" s="7">
        <f>MECS_Annual_Fuel1!AI55</f>
        <v>1810.8084829965851</v>
      </c>
      <c r="DE63" s="7">
        <f>MECS_Annual_Fuel1!AJ55</f>
        <v>1899</v>
      </c>
      <c r="DF63" s="7">
        <f>MECS_Annual_Fuel1!AK55</f>
        <v>1916.5339866445674</v>
      </c>
      <c r="DG63" s="7">
        <f>MECS_Annual_Fuel1!AL55</f>
        <v>1920.6028756718433</v>
      </c>
      <c r="DH63" s="7">
        <f>MECS_Annual_Fuel1!AM55</f>
        <v>1793.6389598515498</v>
      </c>
      <c r="DI63" s="7"/>
      <c r="DK63">
        <v>2012</v>
      </c>
      <c r="DL63" s="44">
        <v>11017.078970851395</v>
      </c>
      <c r="DM63" s="44">
        <f>MER_Nov19_Table2.4!E76</f>
        <v>18404.710999999999</v>
      </c>
      <c r="DY63">
        <f t="shared" si="80"/>
        <v>2008</v>
      </c>
      <c r="DZ63" s="49">
        <v>913.55290679421876</v>
      </c>
      <c r="EA63" s="49">
        <v>100.10391940983209</v>
      </c>
      <c r="EB63" s="49">
        <v>2.9930445873252332</v>
      </c>
      <c r="EC63" s="49">
        <v>340.75137141804316</v>
      </c>
      <c r="ED63" s="49">
        <v>1905.2774059551602</v>
      </c>
      <c r="EE63" s="49">
        <v>32.461027328280444</v>
      </c>
      <c r="EF63" s="49">
        <v>3327.9701282444062</v>
      </c>
      <c r="EG63" s="49">
        <v>2808.6503129524704</v>
      </c>
      <c r="EH63" s="49">
        <v>118.89421130373546</v>
      </c>
      <c r="EI63" s="49">
        <v>744.58615673498946</v>
      </c>
      <c r="EJ63" s="49">
        <v>1367.2205669627242</v>
      </c>
      <c r="EK63" s="49">
        <v>186.52536210085808</v>
      </c>
      <c r="EL63" s="49">
        <v>78.853051261641937</v>
      </c>
      <c r="EM63" s="49">
        <v>43.705219316728574</v>
      </c>
      <c r="EN63" s="49">
        <v>37.150422470058906</v>
      </c>
      <c r="EO63" s="49">
        <v>178.02133203826156</v>
      </c>
      <c r="EP63" s="49">
        <v>21.906717243100903</v>
      </c>
      <c r="EQ63" s="49">
        <v>20.608192835341118</v>
      </c>
    </row>
    <row r="64" spans="6:147" x14ac:dyDescent="0.2">
      <c r="F64" t="str">
        <f t="shared" si="84"/>
        <v>334</v>
      </c>
      <c r="G64">
        <f>MECS_Fuel!E257</f>
        <v>54.789455724294967</v>
      </c>
      <c r="H64" s="37">
        <f t="shared" si="85"/>
        <v>57.303111896000885</v>
      </c>
      <c r="I64" s="37">
        <f t="shared" si="86"/>
        <v>61.351387822089904</v>
      </c>
      <c r="J64">
        <f>MECS_Fuel!F257</f>
        <v>62.693189717341816</v>
      </c>
      <c r="K64" s="37">
        <f t="shared" si="87"/>
        <v>61.085707701967216</v>
      </c>
      <c r="L64" s="37">
        <f t="shared" si="88"/>
        <v>60.680320651913654</v>
      </c>
      <c r="M64">
        <f>MECS_Fuel!G257</f>
        <v>56.220714404637988</v>
      </c>
      <c r="N64" s="37">
        <f t="shared" si="89"/>
        <v>59.136342825767187</v>
      </c>
      <c r="O64" s="37">
        <f t="shared" si="90"/>
        <v>62.414538336240533</v>
      </c>
      <c r="P64">
        <f>MECS_Fuel!H257</f>
        <v>66.930484972733723</v>
      </c>
      <c r="Q64" s="37">
        <f t="shared" si="91"/>
        <v>67.095586301614247</v>
      </c>
      <c r="R64" s="37">
        <f t="shared" si="92"/>
        <v>67.556433090372835</v>
      </c>
      <c r="S64" s="37">
        <f t="shared" si="93"/>
        <v>68.545245680475773</v>
      </c>
      <c r="T64">
        <f>MECS_Fuel!I257</f>
        <v>67.813715999999999</v>
      </c>
      <c r="U64" s="37">
        <f t="shared" si="94"/>
        <v>68.034519531803099</v>
      </c>
      <c r="V64" s="37">
        <f t="shared" si="95"/>
        <v>76.501244355034032</v>
      </c>
      <c r="W64" s="37">
        <f t="shared" si="96"/>
        <v>76.93191460656567</v>
      </c>
      <c r="X64">
        <f>MECS_Fuel!J257</f>
        <v>69.142976000000004</v>
      </c>
      <c r="Y64" s="37">
        <f t="shared" si="97"/>
        <v>63.618858062254837</v>
      </c>
      <c r="Z64" s="37">
        <f t="shared" si="98"/>
        <v>59.320993032324388</v>
      </c>
      <c r="AA64" s="37">
        <f t="shared" si="99"/>
        <v>52.984473624325041</v>
      </c>
      <c r="AB64">
        <f>MECS_Fuel!K257</f>
        <v>47.139291999999998</v>
      </c>
      <c r="AC64" s="37">
        <f t="shared" si="108"/>
        <v>47.831654822291256</v>
      </c>
      <c r="AD64" s="37">
        <f t="shared" si="109"/>
        <v>48.676765381324309</v>
      </c>
      <c r="AE64" s="37">
        <f t="shared" si="110"/>
        <v>44.267491340198113</v>
      </c>
      <c r="AF64" s="7">
        <f>MECS_Fuel!L257</f>
        <v>43</v>
      </c>
      <c r="AG64" s="37">
        <f t="shared" si="103"/>
        <v>39.18390387793977</v>
      </c>
      <c r="AH64" s="37">
        <f t="shared" si="104"/>
        <v>53.598385805333585</v>
      </c>
      <c r="AI64" s="37">
        <f t="shared" si="105"/>
        <v>44.586580263967242</v>
      </c>
      <c r="AJ64" s="7">
        <f>MECS_Fuel!M257</f>
        <v>50</v>
      </c>
      <c r="AK64" s="116">
        <f t="shared" ref="AK64:AM64" si="132">AK41*$AJ64</f>
        <v>53.638764378992477</v>
      </c>
      <c r="AL64" s="116">
        <f t="shared" si="132"/>
        <v>54.963539197924007</v>
      </c>
      <c r="AM64" s="116">
        <f t="shared" si="132"/>
        <v>53.697786362207289</v>
      </c>
      <c r="BJ64">
        <v>2013</v>
      </c>
      <c r="BK64" s="15">
        <v>12149.692187268034</v>
      </c>
      <c r="BL64" s="15">
        <f>MECS_Annual_Fuel1!BJ64</f>
        <v>11929.722103697588</v>
      </c>
      <c r="BM64" s="15">
        <f t="shared" si="130"/>
        <v>18929.594000000001</v>
      </c>
      <c r="BN64" s="15">
        <f t="shared" si="36"/>
        <v>18929594</v>
      </c>
      <c r="CA64" t="str">
        <f>MECS_Annual_Fuel1!F56</f>
        <v>323</v>
      </c>
      <c r="CB64" s="7">
        <f>MECS_Annual_Fuel1!G56</f>
        <v>26.699079874753146</v>
      </c>
      <c r="CC64" s="7">
        <f>MECS_Annual_Fuel1!H56</f>
        <v>31.398684042991388</v>
      </c>
      <c r="CD64" s="7">
        <f>MECS_Annual_Fuel1!I56</f>
        <v>35.457031000499867</v>
      </c>
      <c r="CE64" s="7">
        <f>MECS_Annual_Fuel1!J56</f>
        <v>40.089746346787351</v>
      </c>
      <c r="CF64" s="7">
        <f>MECS_Annual_Fuel1!K56</f>
        <v>41.243633713675202</v>
      </c>
      <c r="CG64" s="7">
        <f>MECS_Annual_Fuel1!L56</f>
        <v>40.250360783695889</v>
      </c>
      <c r="CH64" s="7">
        <f>MECS_Annual_Fuel1!M56</f>
        <v>38.576483481067747</v>
      </c>
      <c r="CI64" s="7">
        <f>MECS_Annual_Fuel1!N56</f>
        <v>38.178392597320688</v>
      </c>
      <c r="CJ64" s="7">
        <f>MECS_Annual_Fuel1!O56</f>
        <v>35.271440939704874</v>
      </c>
      <c r="CK64" s="7">
        <f>MECS_Annual_Fuel1!P56</f>
        <v>37.113573244007682</v>
      </c>
      <c r="CL64" s="7">
        <f>MECS_Annual_Fuel1!Q56</f>
        <v>43.188518122581051</v>
      </c>
      <c r="CM64" s="7">
        <f>MECS_Annual_Fuel1!R56</f>
        <v>40.33110661016218</v>
      </c>
      <c r="CN64" s="7">
        <f>MECS_Annual_Fuel1!S56</f>
        <v>40.608372244311404</v>
      </c>
      <c r="CO64" s="7">
        <f>MECS_Annual_Fuel1!T56</f>
        <v>47.004247999999997</v>
      </c>
      <c r="CP64" s="7">
        <f>MECS_Annual_Fuel1!U56</f>
        <v>52.164830887173935</v>
      </c>
      <c r="CQ64" s="7">
        <f>MECS_Annual_Fuel1!V56</f>
        <v>43.975163094048298</v>
      </c>
      <c r="CR64" s="7">
        <f>MECS_Annual_Fuel1!W56</f>
        <v>43.927533603441304</v>
      </c>
      <c r="CS64" s="7">
        <f>MECS_Annual_Fuel1!X56</f>
        <v>47.795832000000004</v>
      </c>
      <c r="CT64" s="7">
        <f>MECS_Annual_Fuel1!Y56</f>
        <v>39.692067517161526</v>
      </c>
      <c r="CU64" s="7">
        <f>MECS_Annual_Fuel1!Z56</f>
        <v>39.966826921984563</v>
      </c>
      <c r="CV64" s="7">
        <f>MECS_Annual_Fuel1!AA56</f>
        <v>36.753303021623331</v>
      </c>
      <c r="CW64" s="7">
        <f>MECS_Annual_Fuel1!AB56</f>
        <v>40.374451999999998</v>
      </c>
      <c r="CX64" s="7">
        <f>MECS_Annual_Fuel1!AC56</f>
        <v>40.901224952433246</v>
      </c>
      <c r="CY64" s="7">
        <f>MECS_Annual_Fuel1!AD56</f>
        <v>32.461027328280444</v>
      </c>
      <c r="CZ64" s="7">
        <f>MECS_Annual_Fuel1!AE56</f>
        <v>42.881660809701962</v>
      </c>
      <c r="DA64" s="7">
        <f>MECS_Annual_Fuel1!AF56</f>
        <v>36</v>
      </c>
      <c r="DB64" s="7">
        <f>MECS_Annual_Fuel1!AG56</f>
        <v>39.681746342190024</v>
      </c>
      <c r="DC64" s="7">
        <f>MECS_Annual_Fuel1!AH56</f>
        <v>40.886951644453283</v>
      </c>
      <c r="DD64" s="7">
        <f>MECS_Annual_Fuel1!AI56</f>
        <v>41.131101202521521</v>
      </c>
      <c r="DE64" s="7">
        <f>MECS_Annual_Fuel1!AJ56</f>
        <v>40</v>
      </c>
      <c r="DF64" s="7">
        <f>MECS_Annual_Fuel1!AK56</f>
        <v>41.772916701739263</v>
      </c>
      <c r="DG64" s="7">
        <f>MECS_Annual_Fuel1!AL56</f>
        <v>48.826228708148577</v>
      </c>
      <c r="DH64" s="7">
        <f>MECS_Annual_Fuel1!AM56</f>
        <v>59.497184411456416</v>
      </c>
      <c r="DI64" s="7"/>
      <c r="DK64">
        <v>2013</v>
      </c>
      <c r="DL64" s="44">
        <v>11929.722103697588</v>
      </c>
      <c r="DM64" s="44">
        <f>MER_Nov19_Table2.4!E77</f>
        <v>18929.594000000001</v>
      </c>
      <c r="DY64">
        <v>2009</v>
      </c>
      <c r="DZ64" s="49">
        <v>1082.0437976266057</v>
      </c>
      <c r="EA64" s="49">
        <v>92.386077520771678</v>
      </c>
      <c r="EB64" s="49">
        <v>3.526210661636902</v>
      </c>
      <c r="EC64" s="49">
        <v>349.87643313649335</v>
      </c>
      <c r="ED64" s="49">
        <v>1774.044580052572</v>
      </c>
      <c r="EE64" s="49">
        <v>42.881660809701962</v>
      </c>
      <c r="EF64" s="49">
        <v>3130.9523370717566</v>
      </c>
      <c r="EG64" s="49">
        <v>2507.0190933838858</v>
      </c>
      <c r="EH64" s="49">
        <v>111.58171088640285</v>
      </c>
      <c r="EI64" s="49">
        <v>646.20773136287312</v>
      </c>
      <c r="EJ64" s="49">
        <v>960.90080405798346</v>
      </c>
      <c r="EK64" s="49">
        <v>192.36823377378479</v>
      </c>
      <c r="EL64" s="49">
        <v>87.825004558862744</v>
      </c>
      <c r="EM64" s="49">
        <v>43.349239751799061</v>
      </c>
      <c r="EN64" s="49">
        <v>36.104547894183433</v>
      </c>
      <c r="EO64" s="49">
        <v>172.38272816028737</v>
      </c>
      <c r="EP64" s="49">
        <v>22.324842479284005</v>
      </c>
      <c r="EQ64" s="49">
        <v>22.524890856185063</v>
      </c>
    </row>
    <row r="65" spans="6:147" x14ac:dyDescent="0.2">
      <c r="F65" t="str">
        <f t="shared" si="84"/>
        <v>335</v>
      </c>
      <c r="G65">
        <f>MECS_Fuel!E258</f>
        <v>62.919467623803939</v>
      </c>
      <c r="H65" s="37">
        <f t="shared" si="85"/>
        <v>62.283777375903881</v>
      </c>
      <c r="I65" s="37">
        <f t="shared" si="86"/>
        <v>64.15706000876547</v>
      </c>
      <c r="J65">
        <f>MECS_Fuel!F258</f>
        <v>64.55717435203718</v>
      </c>
      <c r="K65" s="37">
        <f t="shared" si="87"/>
        <v>61.694103271764547</v>
      </c>
      <c r="L65" s="37">
        <f t="shared" si="88"/>
        <v>60.035246020404799</v>
      </c>
      <c r="M65">
        <f>MECS_Fuel!G258</f>
        <v>55.611292613491038</v>
      </c>
      <c r="N65" s="37">
        <f t="shared" si="89"/>
        <v>58.722096184269233</v>
      </c>
      <c r="O65" s="37">
        <f t="shared" si="90"/>
        <v>63.598151042354196</v>
      </c>
      <c r="P65">
        <f>MECS_Fuel!H258</f>
        <v>67.848599515192888</v>
      </c>
      <c r="Q65" s="37">
        <f t="shared" si="91"/>
        <v>66.661965507217573</v>
      </c>
      <c r="R65" s="37">
        <f t="shared" si="92"/>
        <v>64.493881405582243</v>
      </c>
      <c r="S65" s="37">
        <f t="shared" si="93"/>
        <v>64.384523139479242</v>
      </c>
      <c r="T65">
        <f>MECS_Fuel!I258</f>
        <v>60.671008</v>
      </c>
      <c r="U65" s="37">
        <f t="shared" si="94"/>
        <v>61.278694478968518</v>
      </c>
      <c r="V65" s="37">
        <f t="shared" si="95"/>
        <v>62.734981192081634</v>
      </c>
      <c r="W65" s="37">
        <f t="shared" si="96"/>
        <v>61.421876655289154</v>
      </c>
      <c r="X65">
        <f>MECS_Fuel!J258</f>
        <v>55.569788000000003</v>
      </c>
      <c r="Y65" s="37">
        <f t="shared" si="97"/>
        <v>50.484928017926073</v>
      </c>
      <c r="Z65" s="37">
        <f t="shared" si="98"/>
        <v>48.906279751259603</v>
      </c>
      <c r="AA65" s="37">
        <f t="shared" si="99"/>
        <v>46.84281218060395</v>
      </c>
      <c r="AB65">
        <f>MECS_Fuel!K258</f>
        <v>43.097796000000002</v>
      </c>
      <c r="AC65" s="37">
        <f t="shared" si="108"/>
        <v>45.159102734737374</v>
      </c>
      <c r="AD65" s="37">
        <f t="shared" si="109"/>
        <v>44.34297491597448</v>
      </c>
      <c r="AE65" s="37">
        <f t="shared" si="110"/>
        <v>35.887808772514582</v>
      </c>
      <c r="AF65" s="7">
        <f>MECS_Fuel!L258</f>
        <v>38</v>
      </c>
      <c r="AG65" s="37">
        <f t="shared" si="103"/>
        <v>40.364245616383492</v>
      </c>
      <c r="AH65" s="37">
        <f t="shared" si="104"/>
        <v>37.93210879610546</v>
      </c>
      <c r="AI65" s="37">
        <f t="shared" si="105"/>
        <v>33.77570078168521</v>
      </c>
      <c r="AJ65" s="7">
        <f>MECS_Fuel!M258</f>
        <v>31</v>
      </c>
      <c r="AK65" s="116">
        <f t="shared" ref="AK65:AM65" si="133">AK42*$AJ65</f>
        <v>30.984416407924904</v>
      </c>
      <c r="AL65" s="116">
        <f t="shared" si="133"/>
        <v>29.598730565476735</v>
      </c>
      <c r="AM65" s="116">
        <f t="shared" si="133"/>
        <v>27.128736999693942</v>
      </c>
      <c r="BJ65">
        <v>2014</v>
      </c>
      <c r="BK65" s="15">
        <v>12301</v>
      </c>
      <c r="BL65" s="15">
        <f>MECS_Annual_Fuel1!BJ65</f>
        <v>12301</v>
      </c>
      <c r="BM65" s="15">
        <f t="shared" si="130"/>
        <v>18970.608</v>
      </c>
      <c r="BN65" s="15">
        <f t="shared" si="36"/>
        <v>18970608</v>
      </c>
      <c r="CA65" t="str">
        <f>MECS_Annual_Fuel1!F57</f>
        <v>324</v>
      </c>
      <c r="CB65" s="7">
        <f>MECS_Annual_Fuel1!G57</f>
        <v>2519.6333802647096</v>
      </c>
      <c r="CC65" s="7">
        <f>MECS_Annual_Fuel1!H57</f>
        <v>2626.7910501830515</v>
      </c>
      <c r="CD65" s="7">
        <f>MECS_Annual_Fuel1!I57</f>
        <v>2540.5233690368536</v>
      </c>
      <c r="CE65" s="7">
        <f>MECS_Annual_Fuel1!J57</f>
        <v>3018.3157833208888</v>
      </c>
      <c r="CF65" s="7">
        <f>MECS_Annual_Fuel1!K57</f>
        <v>2915.2969285910458</v>
      </c>
      <c r="CG65" s="7">
        <f>MECS_Annual_Fuel1!L57</f>
        <v>3124.7889425288813</v>
      </c>
      <c r="CH65" s="7">
        <f>MECS_Annual_Fuel1!M57</f>
        <v>2884.3712617836486</v>
      </c>
      <c r="CI65" s="7">
        <f>MECS_Annual_Fuel1!N57</f>
        <v>2872.0335311985218</v>
      </c>
      <c r="CJ65" s="7">
        <f>MECS_Annual_Fuel1!O57</f>
        <v>3246.9546532568111</v>
      </c>
      <c r="CK65" s="7">
        <f>MECS_Annual_Fuel1!P57</f>
        <v>3144.6947232151383</v>
      </c>
      <c r="CL65" s="7">
        <f>MECS_Annual_Fuel1!Q57</f>
        <v>3137.6429801840677</v>
      </c>
      <c r="CM65" s="7">
        <f>MECS_Annual_Fuel1!R57</f>
        <v>3075.4499035761555</v>
      </c>
      <c r="CN65" s="7">
        <f>MECS_Annual_Fuel1!S57</f>
        <v>2949.7808019834833</v>
      </c>
      <c r="CO65" s="7">
        <f>MECS_Annual_Fuel1!T57</f>
        <v>3495.5546920000002</v>
      </c>
      <c r="CP65" s="7">
        <f>MECS_Annual_Fuel1!U57</f>
        <v>3559.9686790500004</v>
      </c>
      <c r="CQ65" s="7">
        <f>MECS_Annual_Fuel1!V57</f>
        <v>3613.8718330000002</v>
      </c>
      <c r="CR65" s="7">
        <f>MECS_Annual_Fuel1!W57</f>
        <v>3380.0635843649989</v>
      </c>
      <c r="CS65" s="7">
        <f>MECS_Annual_Fuel1!X57</f>
        <v>3075.1213680000001</v>
      </c>
      <c r="CT65" s="7">
        <f>MECS_Annual_Fuel1!Y57</f>
        <v>2948.1391387304238</v>
      </c>
      <c r="CU65" s="7">
        <f>MECS_Annual_Fuel1!Z57</f>
        <v>3025.491120124726</v>
      </c>
      <c r="CV65" s="7">
        <f>MECS_Annual_Fuel1!AA57</f>
        <v>3193.4321473633022</v>
      </c>
      <c r="CW65" s="7">
        <f>MECS_Annual_Fuel1!AB57</f>
        <v>3259.0627920000002</v>
      </c>
      <c r="CX65" s="7">
        <f>MECS_Annual_Fuel1!AC57</f>
        <v>3224.6173172433992</v>
      </c>
      <c r="CY65" s="7">
        <f>MECS_Annual_Fuel1!AD57</f>
        <v>3293.4724138945789</v>
      </c>
      <c r="CZ65" s="7">
        <f>MECS_Annual_Fuel1!AE57</f>
        <v>2789.2590401073339</v>
      </c>
      <c r="DA65" s="7">
        <f>MECS_Annual_Fuel1!AF57</f>
        <v>3159</v>
      </c>
      <c r="DB65" s="7">
        <f>MECS_Annual_Fuel1!AG57</f>
        <v>3119.7773525461766</v>
      </c>
      <c r="DC65" s="7">
        <f>MECS_Annual_Fuel1!AH57</f>
        <v>2948.0452954146526</v>
      </c>
      <c r="DD65" s="7">
        <f>MECS_Annual_Fuel1!AI57</f>
        <v>3141.97711054922</v>
      </c>
      <c r="DE65" s="7">
        <f>MECS_Annual_Fuel1!AJ57</f>
        <v>3346</v>
      </c>
      <c r="DF65" s="7">
        <f>MECS_Annual_Fuel1!AK57</f>
        <v>2662.5075454970774</v>
      </c>
      <c r="DG65" s="7">
        <f>MECS_Annual_Fuel1!AL57</f>
        <v>2393.0286293869767</v>
      </c>
      <c r="DH65" s="7">
        <f>MECS_Annual_Fuel1!AM57</f>
        <v>2653.5491863240372</v>
      </c>
      <c r="DI65" s="7"/>
      <c r="DK65">
        <v>2014</v>
      </c>
      <c r="DL65" s="44">
        <v>12301</v>
      </c>
      <c r="DM65" s="44">
        <f>MER_Nov19_Table2.4!E78</f>
        <v>18970.608</v>
      </c>
      <c r="DY65">
        <v>2010</v>
      </c>
      <c r="DZ65" s="49">
        <v>958</v>
      </c>
      <c r="EA65" s="49">
        <v>62</v>
      </c>
      <c r="EB65" s="49">
        <v>3</v>
      </c>
      <c r="EC65" s="49">
        <v>418</v>
      </c>
      <c r="ED65" s="49">
        <v>1904</v>
      </c>
      <c r="EE65" s="49">
        <v>36</v>
      </c>
      <c r="EF65" s="49">
        <v>3159</v>
      </c>
      <c r="EG65" s="49">
        <v>2772</v>
      </c>
      <c r="EH65" s="49">
        <v>116</v>
      </c>
      <c r="EI65" s="49">
        <v>600</v>
      </c>
      <c r="EJ65" s="49">
        <v>1255</v>
      </c>
      <c r="EK65" s="49">
        <v>174</v>
      </c>
      <c r="EL65" s="49">
        <v>78</v>
      </c>
      <c r="EM65" s="49">
        <v>43</v>
      </c>
      <c r="EN65" s="49">
        <v>38</v>
      </c>
      <c r="EO65" s="49">
        <v>143</v>
      </c>
      <c r="EP65" s="49">
        <v>19</v>
      </c>
      <c r="EQ65" s="49">
        <v>17</v>
      </c>
    </row>
    <row r="66" spans="6:147" x14ac:dyDescent="0.2">
      <c r="F66" t="str">
        <f t="shared" si="84"/>
        <v>336</v>
      </c>
      <c r="G66">
        <f>MECS_Fuel!E259</f>
        <v>234.98001273849101</v>
      </c>
      <c r="H66" s="37">
        <f t="shared" si="85"/>
        <v>233.49457897097713</v>
      </c>
      <c r="I66" s="37">
        <f t="shared" si="86"/>
        <v>239.65530302767775</v>
      </c>
      <c r="J66">
        <f>MECS_Fuel!F259</f>
        <v>254.78050349600764</v>
      </c>
      <c r="K66" s="37">
        <f t="shared" si="87"/>
        <v>250.35553411998833</v>
      </c>
      <c r="L66" s="37">
        <f t="shared" si="88"/>
        <v>250.25347105331275</v>
      </c>
      <c r="M66">
        <f>MECS_Fuel!G259</f>
        <v>244.13057132985355</v>
      </c>
      <c r="N66" s="37">
        <f t="shared" si="89"/>
        <v>252.15956298972819</v>
      </c>
      <c r="O66" s="37">
        <f t="shared" si="90"/>
        <v>266.15910279294047</v>
      </c>
      <c r="P66">
        <f>MECS_Fuel!H259</f>
        <v>260.23443301298028</v>
      </c>
      <c r="Q66" s="37">
        <f t="shared" si="91"/>
        <v>268.13385415129153</v>
      </c>
      <c r="R66" s="37">
        <f t="shared" si="92"/>
        <v>269.15888392998517</v>
      </c>
      <c r="S66" s="37">
        <f t="shared" si="93"/>
        <v>299.60200027902334</v>
      </c>
      <c r="T66">
        <f>MECS_Fuel!I259</f>
        <v>292.75512400000002</v>
      </c>
      <c r="U66" s="37">
        <f t="shared" si="94"/>
        <v>288.60804189539977</v>
      </c>
      <c r="V66" s="37">
        <f t="shared" si="95"/>
        <v>283.80950178623908</v>
      </c>
      <c r="W66" s="37">
        <f t="shared" si="96"/>
        <v>275.19572342939011</v>
      </c>
      <c r="X66">
        <f>MECS_Fuel!J259</f>
        <v>251.66670399999998</v>
      </c>
      <c r="Y66" s="37">
        <f t="shared" si="97"/>
        <v>251.87823010168896</v>
      </c>
      <c r="Z66" s="37">
        <f t="shared" si="98"/>
        <v>277.32354215323386</v>
      </c>
      <c r="AA66" s="37">
        <f t="shared" si="99"/>
        <v>288.06533817652706</v>
      </c>
      <c r="AB66">
        <f>MECS_Fuel!K259</f>
        <v>283.93937199999999</v>
      </c>
      <c r="AC66" s="37">
        <f t="shared" si="108"/>
        <v>259.44427704656505</v>
      </c>
      <c r="AD66" s="37">
        <f t="shared" si="109"/>
        <v>220.88103591216688</v>
      </c>
      <c r="AE66" s="37">
        <f t="shared" si="110"/>
        <v>147.5600612979587</v>
      </c>
      <c r="AF66" s="7">
        <f>MECS_Fuel!L259</f>
        <v>143</v>
      </c>
      <c r="AG66" s="37">
        <f t="shared" si="103"/>
        <v>160.71893682310198</v>
      </c>
      <c r="AH66" s="37">
        <f t="shared" si="104"/>
        <v>159.53612482859435</v>
      </c>
      <c r="AI66" s="37">
        <f t="shared" si="105"/>
        <v>159.6545724921302</v>
      </c>
      <c r="AJ66" s="7">
        <f>MECS_Fuel!M259</f>
        <v>164</v>
      </c>
      <c r="AK66" s="116">
        <f t="shared" ref="AK66:AM66" si="134">AK43*$AJ66</f>
        <v>171.28909795159873</v>
      </c>
      <c r="AL66" s="116">
        <f t="shared" si="134"/>
        <v>176.01164499656809</v>
      </c>
      <c r="AM66" s="116">
        <f t="shared" si="134"/>
        <v>164.14160553703283</v>
      </c>
      <c r="BJ66">
        <v>2015</v>
      </c>
      <c r="BK66" s="15">
        <v>12280.28336888263</v>
      </c>
      <c r="BL66" s="15">
        <f>MECS_Annual_Fuel1!BJ66</f>
        <v>11954.117982146578</v>
      </c>
      <c r="BM66" s="15">
        <f t="shared" ref="BM66:BM68" si="135">BN66*0.001</f>
        <v>18928.817999999999</v>
      </c>
      <c r="BN66" s="15">
        <f t="shared" si="36"/>
        <v>18928818</v>
      </c>
      <c r="CA66" t="str">
        <f>MECS_Annual_Fuel1!F58</f>
        <v>325</v>
      </c>
      <c r="CB66" s="7">
        <f>MECS_Annual_Fuel1!G58</f>
        <v>1982.3306729500532</v>
      </c>
      <c r="CC66" s="7">
        <f>MECS_Annual_Fuel1!H58</f>
        <v>1831.8447835330508</v>
      </c>
      <c r="CD66" s="7">
        <f>MECS_Annual_Fuel1!I58</f>
        <v>2195.6054591308875</v>
      </c>
      <c r="CE66" s="7">
        <f>MECS_Annual_Fuel1!J58</f>
        <v>2425.2974275342949</v>
      </c>
      <c r="CF66" s="7">
        <f>MECS_Annual_Fuel1!K58</f>
        <v>2499.3203693504865</v>
      </c>
      <c r="CG66" s="7">
        <f>MECS_Annual_Fuel1!L58</f>
        <v>2517.1130386253217</v>
      </c>
      <c r="CH66" s="7">
        <f>MECS_Annual_Fuel1!M58</f>
        <v>2577.2858974832011</v>
      </c>
      <c r="CI66" s="7">
        <f>MECS_Annual_Fuel1!N58</f>
        <v>2632.2200280541119</v>
      </c>
      <c r="CJ66" s="7">
        <f>MECS_Annual_Fuel1!O58</f>
        <v>2820.3739697938513</v>
      </c>
      <c r="CK66" s="7">
        <f>MECS_Annual_Fuel1!P58</f>
        <v>2729.1714558311169</v>
      </c>
      <c r="CL66" s="7">
        <f>MECS_Annual_Fuel1!Q58</f>
        <v>2877.6037699885965</v>
      </c>
      <c r="CM66" s="7">
        <f>MECS_Annual_Fuel1!R58</f>
        <v>2983.4361586099817</v>
      </c>
      <c r="CN66" s="7">
        <f>MECS_Annual_Fuel1!S58</f>
        <v>2817.9117757813692</v>
      </c>
      <c r="CO66" s="7">
        <f>MECS_Annual_Fuel1!T58</f>
        <v>3126.5770039999998</v>
      </c>
      <c r="CP66" s="7">
        <f>MECS_Annual_Fuel1!U58</f>
        <v>3498.9703549895826</v>
      </c>
      <c r="CQ66" s="7">
        <f>MECS_Annual_Fuel1!V58</f>
        <v>3615.6959010259156</v>
      </c>
      <c r="CR66" s="7">
        <f>MECS_Annual_Fuel1!W58</f>
        <v>3551.4100552177861</v>
      </c>
      <c r="CS66" s="7">
        <f>MECS_Annual_Fuel1!X58</f>
        <v>3246.609152</v>
      </c>
      <c r="CT66" s="7">
        <f>MECS_Annual_Fuel1!Y58</f>
        <v>2888.0664643530986</v>
      </c>
      <c r="CU66" s="7">
        <f>MECS_Annual_Fuel1!Z58</f>
        <v>2813.8843609137466</v>
      </c>
      <c r="CV66" s="7">
        <f>MECS_Annual_Fuel1!AA58</f>
        <v>2732.1209966405363</v>
      </c>
      <c r="CW66" s="7">
        <f>MECS_Annual_Fuel1!AB58</f>
        <v>2677.7578599999997</v>
      </c>
      <c r="CX66" s="7">
        <f>MECS_Annual_Fuel1!AC58</f>
        <v>2785.9559975493548</v>
      </c>
      <c r="CY66" s="7">
        <f>MECS_Annual_Fuel1!AD58</f>
        <v>2693.658556429019</v>
      </c>
      <c r="CZ66" s="7">
        <f>MECS_Annual_Fuel1!AE58</f>
        <v>2420.7850783001531</v>
      </c>
      <c r="DA66" s="7">
        <f>MECS_Annual_Fuel1!AF58</f>
        <v>2772</v>
      </c>
      <c r="DB66" s="7">
        <f>MECS_Annual_Fuel1!AG58</f>
        <v>2865.8842342198377</v>
      </c>
      <c r="DC66" s="7">
        <f>MECS_Annual_Fuel1!AH58</f>
        <v>2721.4162617878787</v>
      </c>
      <c r="DD66" s="7">
        <f>MECS_Annual_Fuel1!AI58</f>
        <v>3072.8614151678034</v>
      </c>
      <c r="DE66" s="7">
        <f>MECS_Annual_Fuel1!AJ58</f>
        <v>3069</v>
      </c>
      <c r="DF66" s="7">
        <f>MECS_Annual_Fuel1!AK58</f>
        <v>3261.3093142911703</v>
      </c>
      <c r="DG66" s="7">
        <f>MECS_Annual_Fuel1!AL58</f>
        <v>3611.5291991229756</v>
      </c>
      <c r="DH66" s="7">
        <f>MECS_Annual_Fuel1!AM58</f>
        <v>3286.1766212997227</v>
      </c>
      <c r="DI66" s="7"/>
      <c r="DK66">
        <v>2015</v>
      </c>
      <c r="DL66" s="44"/>
      <c r="DM66" s="44">
        <f>MER_Nov19_Table2.4!E79</f>
        <v>18928.817999999999</v>
      </c>
      <c r="DY66">
        <v>2011</v>
      </c>
      <c r="DZ66" s="49">
        <v>962.5869918448409</v>
      </c>
      <c r="EA66" s="49">
        <v>63.735355866562557</v>
      </c>
      <c r="EB66" s="49">
        <v>3.4834106866991101</v>
      </c>
      <c r="EC66" s="49">
        <v>344.71258871576003</v>
      </c>
      <c r="ED66" s="49">
        <v>1722.0786392639382</v>
      </c>
      <c r="EE66" s="49">
        <v>39.681746342190024</v>
      </c>
      <c r="EF66" s="49">
        <v>3119.7773525461766</v>
      </c>
      <c r="EG66" s="49">
        <v>2865.8842342198377</v>
      </c>
      <c r="EH66" s="49">
        <v>114.33836166733738</v>
      </c>
      <c r="EI66" s="49">
        <v>611.9249777848737</v>
      </c>
      <c r="EJ66" s="49">
        <v>1260.1959118059083</v>
      </c>
      <c r="EK66" s="49">
        <v>188.724641806542</v>
      </c>
      <c r="EL66" s="49">
        <v>87.855529195606763</v>
      </c>
      <c r="EM66" s="49">
        <v>49.219159610574309</v>
      </c>
      <c r="EN66" s="49">
        <v>37.494398211204988</v>
      </c>
      <c r="EO66" s="49">
        <v>150.92000632672566</v>
      </c>
      <c r="EP66" s="49">
        <v>19.114039343101386</v>
      </c>
      <c r="EQ66" s="49">
        <v>20.193387797529102</v>
      </c>
    </row>
    <row r="67" spans="6:147" x14ac:dyDescent="0.2">
      <c r="F67" t="str">
        <f t="shared" si="84"/>
        <v>337</v>
      </c>
      <c r="G67">
        <f>MECS_Fuel!E260</f>
        <v>37.383822846973821</v>
      </c>
      <c r="H67" s="37">
        <f t="shared" si="85"/>
        <v>37.443558459499911</v>
      </c>
      <c r="I67" s="37">
        <f t="shared" si="86"/>
        <v>44.134979818462696</v>
      </c>
      <c r="J67">
        <f>MECS_Fuel!F260</f>
        <v>48.640156995919362</v>
      </c>
      <c r="K67" s="37">
        <f t="shared" si="87"/>
        <v>51.878254348091929</v>
      </c>
      <c r="L67" s="37">
        <f t="shared" si="88"/>
        <v>54.223695770453325</v>
      </c>
      <c r="M67">
        <f>MECS_Fuel!G260</f>
        <v>55.8843501953478</v>
      </c>
      <c r="N67" s="37">
        <f t="shared" si="89"/>
        <v>53.610241526416303</v>
      </c>
      <c r="O67" s="37">
        <f t="shared" si="90"/>
        <v>53.538120715934923</v>
      </c>
      <c r="P67">
        <f>MECS_Fuel!H260</f>
        <v>47.300771088826892</v>
      </c>
      <c r="Q67" s="37">
        <f t="shared" si="91"/>
        <v>49.933962080087383</v>
      </c>
      <c r="R67" s="37">
        <f t="shared" si="92"/>
        <v>51.03943583794306</v>
      </c>
      <c r="S67" s="37">
        <f t="shared" si="93"/>
        <v>57.492608473251913</v>
      </c>
      <c r="T67">
        <f>MECS_Fuel!I260</f>
        <v>58.499848</v>
      </c>
      <c r="U67" s="37">
        <f t="shared" si="94"/>
        <v>53.713217938449027</v>
      </c>
      <c r="V67" s="37">
        <f t="shared" si="95"/>
        <v>51.636294349193435</v>
      </c>
      <c r="W67" s="37">
        <f t="shared" si="96"/>
        <v>44.281857261978708</v>
      </c>
      <c r="X67">
        <f>MECS_Fuel!J260</f>
        <v>38.904455999999996</v>
      </c>
      <c r="Y67" s="37">
        <f t="shared" si="97"/>
        <v>35.141046297568252</v>
      </c>
      <c r="Z67" s="37">
        <f t="shared" si="98"/>
        <v>37.586736455066877</v>
      </c>
      <c r="AA67" s="37">
        <f t="shared" si="99"/>
        <v>33.037018769628489</v>
      </c>
      <c r="AB67">
        <f>MECS_Fuel!K260</f>
        <v>28.391231999999999</v>
      </c>
      <c r="AC67" s="37">
        <f t="shared" si="108"/>
        <v>26.126543559878453</v>
      </c>
      <c r="AD67" s="37">
        <f t="shared" si="109"/>
        <v>25.182564091959538</v>
      </c>
      <c r="AE67" s="37">
        <f t="shared" si="110"/>
        <v>18.959175048440578</v>
      </c>
      <c r="AF67" s="7">
        <f>MECS_Fuel!L260</f>
        <v>19</v>
      </c>
      <c r="AG67" s="37">
        <f t="shared" si="103"/>
        <v>19.042697726452193</v>
      </c>
      <c r="AH67" s="37">
        <f t="shared" si="104"/>
        <v>18.112553964096406</v>
      </c>
      <c r="AI67" s="37">
        <f t="shared" si="105"/>
        <v>19.463019993779522</v>
      </c>
      <c r="AJ67" s="7">
        <f>MECS_Fuel!M260</f>
        <v>20</v>
      </c>
      <c r="AK67" s="116">
        <f t="shared" ref="AK67:AM67" si="136">AK44*$AJ67</f>
        <v>20.581577065024042</v>
      </c>
      <c r="AL67" s="116">
        <f t="shared" si="136"/>
        <v>21.153825082074555</v>
      </c>
      <c r="AM67" s="116">
        <f t="shared" si="136"/>
        <v>19.459041648165012</v>
      </c>
      <c r="BJ67">
        <v>2016</v>
      </c>
      <c r="BK67" s="15">
        <v>11897.091115174684</v>
      </c>
      <c r="BL67" s="15">
        <f>MECS_Annual_Fuel1!BJ67</f>
        <v>12191.032093345204</v>
      </c>
      <c r="BM67" s="15">
        <f t="shared" si="135"/>
        <v>19044.449000000001</v>
      </c>
      <c r="BN67" s="15">
        <f t="shared" si="36"/>
        <v>19044449</v>
      </c>
      <c r="CA67" t="str">
        <f>MECS_Annual_Fuel1!F59</f>
        <v>326</v>
      </c>
      <c r="CB67" s="7">
        <f>MECS_Annual_Fuel1!G59</f>
        <v>128.43055874180072</v>
      </c>
      <c r="CC67" s="7">
        <f>MECS_Annual_Fuel1!H59</f>
        <v>135.02187702867309</v>
      </c>
      <c r="CD67" s="7">
        <f>MECS_Annual_Fuel1!I59</f>
        <v>151.42293972634729</v>
      </c>
      <c r="CE67" s="7">
        <f>MECS_Annual_Fuel1!J59</f>
        <v>150.36582650079393</v>
      </c>
      <c r="CF67" s="7">
        <f>MECS_Annual_Fuel1!K59</f>
        <v>156.13332627095838</v>
      </c>
      <c r="CG67" s="7">
        <f>MECS_Annual_Fuel1!L59</f>
        <v>135.02276624658089</v>
      </c>
      <c r="CH67" s="7">
        <f>MECS_Annual_Fuel1!M59</f>
        <v>125.61488437265322</v>
      </c>
      <c r="CI67" s="7">
        <f>MECS_Annual_Fuel1!N59</f>
        <v>132.95089229393827</v>
      </c>
      <c r="CJ67" s="7">
        <f>MECS_Annual_Fuel1!O59</f>
        <v>136.77256011490636</v>
      </c>
      <c r="CK67" s="7">
        <f>MECS_Annual_Fuel1!P59</f>
        <v>141.58522460569185</v>
      </c>
      <c r="CL67" s="7">
        <f>MECS_Annual_Fuel1!Q59</f>
        <v>151.80278514264387</v>
      </c>
      <c r="CM67" s="7">
        <f>MECS_Annual_Fuel1!R59</f>
        <v>145.59186602176126</v>
      </c>
      <c r="CN67" s="7">
        <f>MECS_Annual_Fuel1!S59</f>
        <v>135.30020215581013</v>
      </c>
      <c r="CO67" s="7">
        <f>MECS_Annual_Fuel1!T59</f>
        <v>144.39999600000002</v>
      </c>
      <c r="CP67" s="7">
        <f>MECS_Annual_Fuel1!U59</f>
        <v>163.77373974259751</v>
      </c>
      <c r="CQ67" s="7">
        <f>MECS_Annual_Fuel1!V59</f>
        <v>170.55457311273068</v>
      </c>
      <c r="CR67" s="7">
        <f>MECS_Annual_Fuel1!W59</f>
        <v>170.96821812825092</v>
      </c>
      <c r="CS67" s="7">
        <f>MECS_Annual_Fuel1!X59</f>
        <v>166.54642800000002</v>
      </c>
      <c r="CT67" s="7">
        <f>MECS_Annual_Fuel1!Y59</f>
        <v>162.38700858836174</v>
      </c>
      <c r="CU67" s="7">
        <f>MECS_Annual_Fuel1!Z59</f>
        <v>156.34521408513098</v>
      </c>
      <c r="CV67" s="7">
        <f>MECS_Annual_Fuel1!AA59</f>
        <v>150.24560489044413</v>
      </c>
      <c r="CW67" s="7">
        <f>MECS_Annual_Fuel1!AB59</f>
        <v>153.785552</v>
      </c>
      <c r="CX67" s="7">
        <f>MECS_Annual_Fuel1!AC59</f>
        <v>143.10994103075981</v>
      </c>
      <c r="CY67" s="7">
        <f>MECS_Annual_Fuel1!AD59</f>
        <v>118.89421130373546</v>
      </c>
      <c r="CZ67" s="7">
        <f>MECS_Annual_Fuel1!AE59</f>
        <v>111.58171088640285</v>
      </c>
      <c r="DA67" s="7">
        <f>MECS_Annual_Fuel1!AF59</f>
        <v>116</v>
      </c>
      <c r="DB67" s="7">
        <f>MECS_Annual_Fuel1!AG59</f>
        <v>114.33836166733738</v>
      </c>
      <c r="DC67" s="7">
        <f>MECS_Annual_Fuel1!AH59</f>
        <v>109.54490865472242</v>
      </c>
      <c r="DD67" s="7">
        <f>MECS_Annual_Fuel1!AI59</f>
        <v>111.07562545949031</v>
      </c>
      <c r="DE67" s="7">
        <f>MECS_Annual_Fuel1!AJ59</f>
        <v>104</v>
      </c>
      <c r="DF67" s="7">
        <f>MECS_Annual_Fuel1!AK59</f>
        <v>118.14538873303597</v>
      </c>
      <c r="DG67" s="7">
        <f>MECS_Annual_Fuel1!AL59</f>
        <v>134.51930028316804</v>
      </c>
      <c r="DH67" s="7">
        <f>MECS_Annual_Fuel1!AM59</f>
        <v>157.39604481768811</v>
      </c>
      <c r="DI67" s="7"/>
      <c r="DK67">
        <v>2016</v>
      </c>
      <c r="DL67" s="44"/>
      <c r="DM67" s="44">
        <f>MER_Nov19_Table2.4!E80</f>
        <v>19044.449000000001</v>
      </c>
      <c r="DY67">
        <v>2012</v>
      </c>
      <c r="DZ67" s="49">
        <v>905.23015078882304</v>
      </c>
      <c r="EA67" s="49">
        <v>65.232230776731996</v>
      </c>
      <c r="EB67" s="49">
        <v>2.8834010636912977</v>
      </c>
      <c r="EC67" s="49">
        <v>268.15711778672494</v>
      </c>
      <c r="ED67" s="49">
        <v>1678.8466954510259</v>
      </c>
      <c r="EE67" s="49">
        <v>40.886951644453283</v>
      </c>
      <c r="EF67" s="49">
        <v>2948.0452954146526</v>
      </c>
      <c r="EG67" s="49">
        <v>2721.4162617878787</v>
      </c>
      <c r="EH67" s="49">
        <v>109.54490865472242</v>
      </c>
      <c r="EI67" s="49">
        <v>624.0796384681654</v>
      </c>
      <c r="EJ67" s="49">
        <v>1098.7242374193011</v>
      </c>
      <c r="EK67" s="49">
        <v>193.8473245114659</v>
      </c>
      <c r="EL67" s="49">
        <v>83.277537047934089</v>
      </c>
      <c r="EM67" s="49">
        <v>52.591791695115887</v>
      </c>
      <c r="EN67" s="49">
        <v>33.121930438388155</v>
      </c>
      <c r="EO67" s="49">
        <v>147.50185586468626</v>
      </c>
      <c r="EP67" s="49">
        <v>20.810421304257442</v>
      </c>
      <c r="EQ67" s="49">
        <v>22.881220733375581</v>
      </c>
    </row>
    <row r="68" spans="6:147" x14ac:dyDescent="0.2">
      <c r="F68" t="str">
        <f t="shared" si="84"/>
        <v>339</v>
      </c>
      <c r="G68">
        <f>MECS_Fuel!E261</f>
        <v>33.863505680901589</v>
      </c>
      <c r="H68" s="37">
        <f t="shared" si="85"/>
        <v>34.19538370920494</v>
      </c>
      <c r="I68" s="37">
        <f t="shared" si="86"/>
        <v>44.247956661323812</v>
      </c>
      <c r="J68">
        <f>MECS_Fuel!F261</f>
        <v>45.434393503358493</v>
      </c>
      <c r="K68" s="37">
        <f t="shared" si="87"/>
        <v>42.437431591215379</v>
      </c>
      <c r="L68" s="37">
        <f t="shared" si="88"/>
        <v>41.765597208998628</v>
      </c>
      <c r="M68">
        <f>MECS_Fuel!G261</f>
        <v>34.793804965135031</v>
      </c>
      <c r="N68" s="37">
        <f t="shared" si="89"/>
        <v>38.559674523708956</v>
      </c>
      <c r="O68" s="37">
        <f t="shared" si="90"/>
        <v>44.932421712612715</v>
      </c>
      <c r="P68">
        <f>MECS_Fuel!H261</f>
        <v>48.376910834473634</v>
      </c>
      <c r="Q68" s="37">
        <f t="shared" si="91"/>
        <v>49.815836342825335</v>
      </c>
      <c r="R68" s="37">
        <f t="shared" si="92"/>
        <v>48.603520435196003</v>
      </c>
      <c r="S68" s="37">
        <f t="shared" si="93"/>
        <v>48.207720360170626</v>
      </c>
      <c r="T68">
        <f>MECS_Fuel!I261</f>
        <v>47.700868</v>
      </c>
      <c r="U68" s="37">
        <f t="shared" si="94"/>
        <v>44.144083628013298</v>
      </c>
      <c r="V68" s="37">
        <f t="shared" si="95"/>
        <v>43.160736797831376</v>
      </c>
      <c r="W68" s="37">
        <f t="shared" si="96"/>
        <v>40.871228778204937</v>
      </c>
      <c r="X68">
        <f>MECS_Fuel!J261</f>
        <v>35.603912000000001</v>
      </c>
      <c r="Y68" s="37">
        <f t="shared" si="97"/>
        <v>34.156235730009286</v>
      </c>
      <c r="Z68" s="37">
        <f t="shared" si="98"/>
        <v>37.943434675810046</v>
      </c>
      <c r="AA68" s="37">
        <f t="shared" si="99"/>
        <v>35.952347860876394</v>
      </c>
      <c r="AB68">
        <f>MECS_Fuel!K261</f>
        <v>32.982075999999999</v>
      </c>
      <c r="AC68" s="37">
        <f t="shared" si="108"/>
        <v>27.709583283086388</v>
      </c>
      <c r="AD68" s="37">
        <f t="shared" si="109"/>
        <v>24.907738048183688</v>
      </c>
      <c r="AE68" s="37">
        <f t="shared" si="110"/>
        <v>19.310576591921215</v>
      </c>
      <c r="AF68" s="7">
        <f>MECS_Fuel!L261</f>
        <v>17</v>
      </c>
      <c r="AG68" s="37">
        <f t="shared" si="103"/>
        <v>20.722780873843412</v>
      </c>
      <c r="AH68" s="37">
        <f t="shared" si="104"/>
        <v>21.080916738078123</v>
      </c>
      <c r="AI68" s="37">
        <f t="shared" si="105"/>
        <v>25.588746730337991</v>
      </c>
      <c r="AJ68" s="7">
        <f>MECS_Fuel!M261</f>
        <v>28</v>
      </c>
      <c r="AK68" s="116">
        <f t="shared" ref="AK68:AM68" si="137">AK45*$AJ68</f>
        <v>29.251831036701951</v>
      </c>
      <c r="AL68" s="116">
        <f t="shared" si="137"/>
        <v>28.912394920955389</v>
      </c>
      <c r="AM68" s="116">
        <f t="shared" si="137"/>
        <v>24.640202165076392</v>
      </c>
      <c r="BJ68">
        <v>2017</v>
      </c>
      <c r="BK68" s="15">
        <v>11965.960519445742</v>
      </c>
      <c r="BL68" s="15">
        <f>MECS_Annual_Fuel1!BJ68</f>
        <v>11881.290249504702</v>
      </c>
      <c r="BM68" s="15">
        <f t="shared" si="135"/>
        <v>19471.421000000002</v>
      </c>
      <c r="BN68" s="15">
        <f t="shared" si="36"/>
        <v>19471421</v>
      </c>
      <c r="CA68" t="str">
        <f>MECS_Annual_Fuel1!F60</f>
        <v>327</v>
      </c>
      <c r="CB68" s="7">
        <f>MECS_Annual_Fuel1!G60</f>
        <v>791.01545520082436</v>
      </c>
      <c r="CC68" s="7">
        <f>MECS_Annual_Fuel1!H60</f>
        <v>833.84549437982139</v>
      </c>
      <c r="CD68" s="7">
        <f>MECS_Annual_Fuel1!I60</f>
        <v>865.36110422201477</v>
      </c>
      <c r="CE68" s="7">
        <f>MECS_Annual_Fuel1!J60</f>
        <v>884.64406029384702</v>
      </c>
      <c r="CF68" s="7">
        <f>MECS_Annual_Fuel1!K60</f>
        <v>872.26871686531888</v>
      </c>
      <c r="CG68" s="7">
        <f>MECS_Annual_Fuel1!L60</f>
        <v>839.79715936733282</v>
      </c>
      <c r="CH68" s="7">
        <f>MECS_Annual_Fuel1!M60</f>
        <v>788.81428212035598</v>
      </c>
      <c r="CI68" s="7">
        <f>MECS_Annual_Fuel1!N60</f>
        <v>834.39754001449057</v>
      </c>
      <c r="CJ68" s="7">
        <f>MECS_Annual_Fuel1!O60</f>
        <v>866.94246720947717</v>
      </c>
      <c r="CK68" s="7">
        <f>MECS_Annual_Fuel1!P60</f>
        <v>822.05619657793363</v>
      </c>
      <c r="CL68" s="7">
        <f>MECS_Annual_Fuel1!Q60</f>
        <v>836.37810053118699</v>
      </c>
      <c r="CM68" s="7">
        <f>MECS_Annual_Fuel1!R60</f>
        <v>768.59394669215737</v>
      </c>
      <c r="CN68" s="7">
        <f>MECS_Annual_Fuel1!S60</f>
        <v>781.48054541412921</v>
      </c>
      <c r="CO68" s="7">
        <f>MECS_Annual_Fuel1!T60</f>
        <v>834.98687599999994</v>
      </c>
      <c r="CP68" s="7">
        <f>MECS_Annual_Fuel1!U60</f>
        <v>887.75742962271181</v>
      </c>
      <c r="CQ68" s="7">
        <f>MECS_Annual_Fuel1!V60</f>
        <v>860.3030388807673</v>
      </c>
      <c r="CR68" s="7">
        <f>MECS_Annual_Fuel1!W60</f>
        <v>844.57954689595817</v>
      </c>
      <c r="CS68" s="7">
        <f>MECS_Annual_Fuel1!X60</f>
        <v>910.76708400000007</v>
      </c>
      <c r="CT68" s="7">
        <f>MECS_Annual_Fuel1!Y60</f>
        <v>843.66258808021871</v>
      </c>
      <c r="CU68" s="7">
        <f>MECS_Annual_Fuel1!Z60</f>
        <v>846.35668023327139</v>
      </c>
      <c r="CV68" s="7">
        <f>MECS_Annual_Fuel1!AA60</f>
        <v>887.23108283057456</v>
      </c>
      <c r="CW68" s="7">
        <f>MECS_Annual_Fuel1!AB60</f>
        <v>958.36588800000004</v>
      </c>
      <c r="CX68" s="7">
        <f>MECS_Annual_Fuel1!AC60</f>
        <v>888.6890971564701</v>
      </c>
      <c r="CY68" s="7">
        <f>MECS_Annual_Fuel1!AD60</f>
        <v>744.58615673498946</v>
      </c>
      <c r="CZ68" s="7">
        <f>MECS_Annual_Fuel1!AE60</f>
        <v>646.20773136287312</v>
      </c>
      <c r="DA68" s="7">
        <f>MECS_Annual_Fuel1!AF60</f>
        <v>600</v>
      </c>
      <c r="DB68" s="7">
        <f>MECS_Annual_Fuel1!AG60</f>
        <v>611.9249777848737</v>
      </c>
      <c r="DC68" s="7">
        <f>MECS_Annual_Fuel1!AH60</f>
        <v>624.0796384681654</v>
      </c>
      <c r="DD68" s="7">
        <f>MECS_Annual_Fuel1!AI60</f>
        <v>679.69946888069933</v>
      </c>
      <c r="DE68" s="7">
        <f>MECS_Annual_Fuel1!AJ60</f>
        <v>699</v>
      </c>
      <c r="DF68" s="7">
        <f>MECS_Annual_Fuel1!AK60</f>
        <v>721.54524566856969</v>
      </c>
      <c r="DG68" s="7">
        <f>MECS_Annual_Fuel1!AL60</f>
        <v>777.91367304417702</v>
      </c>
      <c r="DH68" s="7">
        <f>MECS_Annual_Fuel1!AM60</f>
        <v>714.07677883262534</v>
      </c>
      <c r="DI68" s="7"/>
      <c r="DK68">
        <v>2017</v>
      </c>
      <c r="DL68" s="44"/>
      <c r="DM68" s="44">
        <f>MER_Nov19_Table2.4!E81</f>
        <v>19471.420999999998</v>
      </c>
      <c r="DY68">
        <v>2013</v>
      </c>
      <c r="DZ68" s="49">
        <v>938.49143969789179</v>
      </c>
      <c r="EA68" s="49">
        <v>70.717952789685583</v>
      </c>
      <c r="EB68" s="49">
        <v>2.9774098793298824</v>
      </c>
      <c r="EC68" s="49">
        <v>299.38234805307519</v>
      </c>
      <c r="ED68" s="49">
        <v>1810.8084829965851</v>
      </c>
      <c r="EE68" s="49">
        <v>41.131101202521521</v>
      </c>
      <c r="EF68" s="49">
        <v>3141.97711054922</v>
      </c>
      <c r="EG68" s="49">
        <v>3072.8614151678034</v>
      </c>
      <c r="EH68" s="49">
        <v>111.07562545949031</v>
      </c>
      <c r="EI68" s="49">
        <v>679.69946888069933</v>
      </c>
      <c r="EJ68" s="49">
        <v>1200.1910170523031</v>
      </c>
      <c r="EK68" s="49">
        <v>197.31845463184905</v>
      </c>
      <c r="EL68" s="49">
        <v>85.159713195512765</v>
      </c>
      <c r="EM68" s="49">
        <v>49.834979659611527</v>
      </c>
      <c r="EN68" s="49">
        <v>28.316056303566675</v>
      </c>
      <c r="EO68" s="49">
        <v>152.54903819923609</v>
      </c>
      <c r="EP68" s="49">
        <v>19.613149087444253</v>
      </c>
      <c r="EQ68" s="49">
        <v>27.617340891758243</v>
      </c>
    </row>
    <row r="69" spans="6:147" x14ac:dyDescent="0.2">
      <c r="G69">
        <f t="shared" ref="G69:AD69" si="138">SUM(G51:G68)</f>
        <v>11405.381661116657</v>
      </c>
      <c r="H69">
        <f t="shared" si="138"/>
        <v>11848.14459054793</v>
      </c>
      <c r="I69">
        <f t="shared" si="138"/>
        <v>12244.467026933529</v>
      </c>
      <c r="J69">
        <f t="shared" si="138"/>
        <v>13042.115484022981</v>
      </c>
      <c r="K69">
        <f t="shared" si="138"/>
        <v>12938.712984296737</v>
      </c>
      <c r="L69">
        <f t="shared" si="138"/>
        <v>13127.243620441241</v>
      </c>
      <c r="M69">
        <f t="shared" si="138"/>
        <v>12599.548369464048</v>
      </c>
      <c r="N69">
        <f t="shared" si="138"/>
        <v>13012.023322645411</v>
      </c>
      <c r="O69">
        <f t="shared" si="138"/>
        <v>13404.523508348133</v>
      </c>
      <c r="P69">
        <f t="shared" si="138"/>
        <v>13805.955934019132</v>
      </c>
      <c r="Q69">
        <f t="shared" si="138"/>
        <v>14156.850042956279</v>
      </c>
      <c r="R69">
        <f t="shared" si="138"/>
        <v>14557.42477201747</v>
      </c>
      <c r="S69">
        <f t="shared" si="138"/>
        <v>14560.236328467941</v>
      </c>
      <c r="T69">
        <f t="shared" si="138"/>
        <v>14659.114711999997</v>
      </c>
      <c r="U69">
        <f t="shared" si="138"/>
        <v>14728.509324347524</v>
      </c>
      <c r="V69">
        <f t="shared" si="138"/>
        <v>14923.847161432477</v>
      </c>
      <c r="W69">
        <f t="shared" si="138"/>
        <v>14192.295830046149</v>
      </c>
      <c r="X69">
        <f t="shared" si="138"/>
        <v>13433.641368000002</v>
      </c>
      <c r="Y69">
        <f t="shared" si="138"/>
        <v>13144.904346684232</v>
      </c>
      <c r="Z69">
        <f t="shared" si="138"/>
        <v>13294.146339556921</v>
      </c>
      <c r="AA69">
        <f t="shared" si="138"/>
        <v>13384.606670720777</v>
      </c>
      <c r="AB69">
        <f t="shared" si="138"/>
        <v>12805.585636000002</v>
      </c>
      <c r="AC69">
        <f t="shared" si="138"/>
        <v>12906.494993698292</v>
      </c>
      <c r="AD69">
        <f t="shared" si="138"/>
        <v>12750.609076748007</v>
      </c>
      <c r="AE69">
        <f>SUM(AE51:AE68)</f>
        <v>11246.042322398092</v>
      </c>
      <c r="AF69">
        <f>SUM(AF51:AF68)</f>
        <v>11795</v>
      </c>
      <c r="AG69">
        <f>SUM(AG51:AG68)</f>
        <v>12423.025844770134</v>
      </c>
      <c r="AH69">
        <f t="shared" ref="AH69:AM69" si="139">SUM(AH51:AH68)</f>
        <v>12361.558379338943</v>
      </c>
      <c r="AI69">
        <f t="shared" si="139"/>
        <v>12149.692187268034</v>
      </c>
      <c r="AJ69">
        <f t="shared" si="139"/>
        <v>12301</v>
      </c>
      <c r="AK69" s="31">
        <f t="shared" si="139"/>
        <v>12280.28336888263</v>
      </c>
      <c r="AL69" s="31">
        <f t="shared" si="139"/>
        <v>11897.091115174684</v>
      </c>
      <c r="AM69" s="31">
        <f t="shared" si="139"/>
        <v>11965.960519445742</v>
      </c>
      <c r="CA69" t="str">
        <f>MECS_Annual_Fuel1!F61</f>
        <v>331</v>
      </c>
      <c r="CB69" s="7">
        <f>MECS_Annual_Fuel1!G61</f>
        <v>1931.5726855408925</v>
      </c>
      <c r="CC69" s="7">
        <f>MECS_Annual_Fuel1!H61</f>
        <v>1819.4681276410374</v>
      </c>
      <c r="CD69" s="7">
        <f>MECS_Annual_Fuel1!I61</f>
        <v>1819.8952963174174</v>
      </c>
      <c r="CE69" s="7">
        <f>MECS_Annual_Fuel1!J61</f>
        <v>2134.8918237453663</v>
      </c>
      <c r="CF69" s="7">
        <f>MECS_Annual_Fuel1!K61</f>
        <v>2135.9489196898717</v>
      </c>
      <c r="CG69" s="7">
        <f>MECS_Annual_Fuel1!L61</f>
        <v>2058.910056035751</v>
      </c>
      <c r="CH69" s="7">
        <f>MECS_Annual_Fuel1!M61</f>
        <v>1811.54797443144</v>
      </c>
      <c r="CI69" s="7">
        <f>MECS_Annual_Fuel1!N61</f>
        <v>1860.7007555363432</v>
      </c>
      <c r="CJ69" s="7">
        <f>MECS_Annual_Fuel1!O61</f>
        <v>1980.5512991134312</v>
      </c>
      <c r="CK69" s="7">
        <f>MECS_Annual_Fuel1!P61</f>
        <v>2096.657607556745</v>
      </c>
      <c r="CL69" s="7">
        <f>MECS_Annual_Fuel1!Q61</f>
        <v>2018.3220014173257</v>
      </c>
      <c r="CM69" s="7">
        <f>MECS_Annual_Fuel1!R61</f>
        <v>2087.7303780101934</v>
      </c>
      <c r="CN69" s="7">
        <f>MECS_Annual_Fuel1!S61</f>
        <v>2032.416827386887</v>
      </c>
      <c r="CO69" s="7">
        <f>MECS_Annual_Fuel1!T61</f>
        <v>2031.356088</v>
      </c>
      <c r="CP69" s="7">
        <f>MECS_Annual_Fuel1!U61</f>
        <v>1927.9607115402796</v>
      </c>
      <c r="CQ69" s="7">
        <f>MECS_Annual_Fuel1!V61</f>
        <v>1984.8032031815608</v>
      </c>
      <c r="CR69" s="7">
        <f>MECS_Annual_Fuel1!W61</f>
        <v>1881.1112478914877</v>
      </c>
      <c r="CS69" s="7">
        <f>MECS_Annual_Fuel1!X61</f>
        <v>1629.9591760000001</v>
      </c>
      <c r="CT69" s="7">
        <f>MECS_Annual_Fuel1!Y61</f>
        <v>1681.9663811639548</v>
      </c>
      <c r="CU69" s="7">
        <f>MECS_Annual_Fuel1!Z61</f>
        <v>1709.7117812587637</v>
      </c>
      <c r="CV69" s="7">
        <f>MECS_Annual_Fuel1!AA61</f>
        <v>1414.7412336622619</v>
      </c>
      <c r="CW69" s="7">
        <f>MECS_Annual_Fuel1!AB61</f>
        <v>1285.6831</v>
      </c>
      <c r="CX69" s="7">
        <f>MECS_Annual_Fuel1!AC61</f>
        <v>1398.596658536504</v>
      </c>
      <c r="CY69" s="7">
        <f>MECS_Annual_Fuel1!AD61</f>
        <v>1367.2205669627242</v>
      </c>
      <c r="CZ69" s="7">
        <f>MECS_Annual_Fuel1!AE61</f>
        <v>960.90080405798346</v>
      </c>
      <c r="DA69" s="7">
        <f>MECS_Annual_Fuel1!AF61</f>
        <v>1255</v>
      </c>
      <c r="DB69" s="7">
        <f>MECS_Annual_Fuel1!AG61</f>
        <v>1260.1959118059083</v>
      </c>
      <c r="DC69" s="7">
        <f>MECS_Annual_Fuel1!AH61</f>
        <v>1098.7242374193011</v>
      </c>
      <c r="DD69" s="7">
        <f>MECS_Annual_Fuel1!AI61</f>
        <v>1200.1910170523031</v>
      </c>
      <c r="DE69" s="7">
        <f>MECS_Annual_Fuel1!AJ61</f>
        <v>1251</v>
      </c>
      <c r="DF69" s="7">
        <f>MECS_Annual_Fuel1!AK61</f>
        <v>1037.5190144924757</v>
      </c>
      <c r="DG69" s="7">
        <f>MECS_Annual_Fuel1!AL61</f>
        <v>971.67780208199395</v>
      </c>
      <c r="DH69" s="7">
        <f>MECS_Annual_Fuel1!AM61</f>
        <v>984.99162402591401</v>
      </c>
      <c r="DI69" s="7"/>
      <c r="DK69">
        <v>2018</v>
      </c>
      <c r="DL69" s="44"/>
      <c r="DM69" s="44">
        <f>MER_Nov19_Table2.4!E82</f>
        <v>20354.669999999998</v>
      </c>
      <c r="DY69">
        <v>2015</v>
      </c>
      <c r="DZ69" s="49">
        <v>929</v>
      </c>
      <c r="EA69" s="49">
        <v>72</v>
      </c>
      <c r="EB69" s="49">
        <v>3</v>
      </c>
      <c r="EC69" s="49">
        <v>311</v>
      </c>
      <c r="ED69" s="49">
        <v>1899</v>
      </c>
      <c r="EE69" s="49">
        <v>40</v>
      </c>
      <c r="EF69" s="49">
        <v>3346</v>
      </c>
      <c r="EG69" s="49">
        <v>3069</v>
      </c>
      <c r="EH69" s="49">
        <v>104</v>
      </c>
      <c r="EI69" s="49">
        <v>699</v>
      </c>
      <c r="EJ69" s="49">
        <v>1251</v>
      </c>
      <c r="EK69" s="49">
        <v>201</v>
      </c>
      <c r="EL69" s="49">
        <v>84</v>
      </c>
      <c r="EM69" s="49">
        <v>50</v>
      </c>
      <c r="EN69" s="49">
        <v>31</v>
      </c>
      <c r="EO69" s="49">
        <v>164</v>
      </c>
      <c r="EP69" s="49">
        <v>20</v>
      </c>
      <c r="EQ69" s="49">
        <v>28</v>
      </c>
    </row>
    <row r="70" spans="6:147" x14ac:dyDescent="0.2">
      <c r="CA70" t="str">
        <f>MECS_Annual_Fuel1!F62</f>
        <v>332</v>
      </c>
      <c r="CB70" s="7">
        <f>MECS_Annual_Fuel1!G62</f>
        <v>218.6220851003327</v>
      </c>
      <c r="CC70" s="7">
        <f>MECS_Annual_Fuel1!H62</f>
        <v>236.43141790334087</v>
      </c>
      <c r="CD70" s="7">
        <f>MECS_Annual_Fuel1!I62</f>
        <v>242.60813301921721</v>
      </c>
      <c r="CE70" s="7">
        <f>MECS_Annual_Fuel1!J62</f>
        <v>251.14969713900282</v>
      </c>
      <c r="CF70" s="7">
        <f>MECS_Annual_Fuel1!K62</f>
        <v>241.61252681571094</v>
      </c>
      <c r="CG70" s="7">
        <f>MECS_Annual_Fuel1!L62</f>
        <v>222.61909858361435</v>
      </c>
      <c r="CH70" s="7">
        <f>MECS_Annual_Fuel1!M62</f>
        <v>217.28105279356296</v>
      </c>
      <c r="CI70" s="7">
        <f>MECS_Annual_Fuel1!N62</f>
        <v>221.51344199750795</v>
      </c>
      <c r="CJ70" s="7">
        <f>MECS_Annual_Fuel1!O62</f>
        <v>238.70978614279537</v>
      </c>
      <c r="CK70" s="7">
        <f>MECS_Annual_Fuel1!P62</f>
        <v>263.57968281835372</v>
      </c>
      <c r="CL70" s="7">
        <f>MECS_Annual_Fuel1!Q62</f>
        <v>289.62365431759213</v>
      </c>
      <c r="CM70" s="7">
        <f>MECS_Annual_Fuel1!R62</f>
        <v>248.28781667305427</v>
      </c>
      <c r="CN70" s="7">
        <f>MECS_Annual_Fuel1!S62</f>
        <v>234.68145352408129</v>
      </c>
      <c r="CO70" s="7">
        <f>MECS_Annual_Fuel1!T62</f>
        <v>265.28541200000001</v>
      </c>
      <c r="CP70" s="7">
        <f>MECS_Annual_Fuel1!U62</f>
        <v>288.74371654908276</v>
      </c>
      <c r="CQ70" s="7">
        <f>MECS_Annual_Fuel1!V62</f>
        <v>253.16629233678722</v>
      </c>
      <c r="CR70" s="7">
        <f>MECS_Annual_Fuel1!W62</f>
        <v>236.80312759318167</v>
      </c>
      <c r="CS70" s="7">
        <f>MECS_Annual_Fuel1!X62</f>
        <v>226.21632399999999</v>
      </c>
      <c r="CT70" s="7">
        <f>MECS_Annual_Fuel1!Y62</f>
        <v>210.87604467529428</v>
      </c>
      <c r="CU70" s="7">
        <f>MECS_Annual_Fuel1!Z62</f>
        <v>206.00060290700236</v>
      </c>
      <c r="CV70" s="7">
        <f>MECS_Annual_Fuel1!AA62</f>
        <v>209.91812999611622</v>
      </c>
      <c r="CW70" s="7">
        <f>MECS_Annual_Fuel1!AB62</f>
        <v>253.81542000000002</v>
      </c>
      <c r="CX70" s="7">
        <f>MECS_Annual_Fuel1!AC62</f>
        <v>236.27608038255704</v>
      </c>
      <c r="CY70" s="7">
        <f>MECS_Annual_Fuel1!AD62</f>
        <v>186.52536210085808</v>
      </c>
      <c r="CZ70" s="7">
        <f>MECS_Annual_Fuel1!AE62</f>
        <v>192.36823377378479</v>
      </c>
      <c r="DA70" s="7">
        <f>MECS_Annual_Fuel1!AF62</f>
        <v>174</v>
      </c>
      <c r="DB70" s="7">
        <f>MECS_Annual_Fuel1!AG62</f>
        <v>188.724641806542</v>
      </c>
      <c r="DC70" s="7">
        <f>MECS_Annual_Fuel1!AH62</f>
        <v>193.8473245114659</v>
      </c>
      <c r="DD70" s="7">
        <f>MECS_Annual_Fuel1!AI62</f>
        <v>197.31845463184905</v>
      </c>
      <c r="DE70" s="7">
        <f>MECS_Annual_Fuel1!AJ62</f>
        <v>201</v>
      </c>
      <c r="DF70" s="7">
        <f>MECS_Annual_Fuel1!AK62</f>
        <v>243.17904468805639</v>
      </c>
      <c r="DG70" s="7">
        <f>MECS_Annual_Fuel1!AL62</f>
        <v>263.59014611965085</v>
      </c>
      <c r="DH70" s="7">
        <f>MECS_Annual_Fuel1!AM62</f>
        <v>244.97167709150528</v>
      </c>
      <c r="DI70" s="7"/>
      <c r="DY70">
        <v>2016</v>
      </c>
      <c r="DZ70" s="49">
        <v>1030.630146776351</v>
      </c>
      <c r="EA70" s="49">
        <v>74.509049446669465</v>
      </c>
      <c r="EB70" s="49">
        <v>4.4320835988412783</v>
      </c>
      <c r="EC70" s="49">
        <v>386.26514793818404</v>
      </c>
      <c r="ED70" s="49">
        <v>1916.5339866445674</v>
      </c>
      <c r="EE70" s="49">
        <v>41.772916701739263</v>
      </c>
      <c r="EF70" s="49">
        <v>2662.5075454970774</v>
      </c>
      <c r="EG70" s="49">
        <v>3261.3093142911703</v>
      </c>
      <c r="EH70" s="49">
        <v>118.14538873303597</v>
      </c>
      <c r="EI70" s="49">
        <v>721.54524566856969</v>
      </c>
      <c r="EJ70" s="49">
        <v>1037.5190144924757</v>
      </c>
      <c r="EK70" s="49">
        <v>243.17904468805639</v>
      </c>
      <c r="EL70" s="49">
        <v>91.210008731150793</v>
      </c>
      <c r="EM70" s="49">
        <v>67.394282393857807</v>
      </c>
      <c r="EN70" s="49">
        <v>36.617221564145147</v>
      </c>
      <c r="EO70" s="49">
        <v>195.87148502702223</v>
      </c>
      <c r="EP70" s="49">
        <v>30.305461091321359</v>
      </c>
      <c r="EQ70" s="49">
        <v>34.370638862344556</v>
      </c>
    </row>
    <row r="71" spans="6:147" x14ac:dyDescent="0.2">
      <c r="L71" s="4"/>
      <c r="AB71">
        <v>3259.0627920000002</v>
      </c>
      <c r="AC71">
        <v>3241.2102170639587</v>
      </c>
      <c r="AD71">
        <v>3343.5574626661378</v>
      </c>
      <c r="AE71">
        <v>3153.1219910624354</v>
      </c>
      <c r="CA71" t="str">
        <f>MECS_Annual_Fuel1!F63</f>
        <v>333</v>
      </c>
      <c r="CB71" s="7">
        <f>MECS_Annual_Fuel1!G63</f>
        <v>118.55685257512636</v>
      </c>
      <c r="CC71" s="7">
        <f>MECS_Annual_Fuel1!H63</f>
        <v>131.76262360948817</v>
      </c>
      <c r="CD71" s="7">
        <f>MECS_Annual_Fuel1!I63</f>
        <v>133.59407668064966</v>
      </c>
      <c r="CE71" s="7">
        <f>MECS_Annual_Fuel1!J63</f>
        <v>138.88393804304263</v>
      </c>
      <c r="CF71" s="7">
        <f>MECS_Annual_Fuel1!K63</f>
        <v>135.84765730352257</v>
      </c>
      <c r="CG71" s="7">
        <f>MECS_Annual_Fuel1!L63</f>
        <v>120.63206911012374</v>
      </c>
      <c r="CH71" s="7">
        <f>MECS_Annual_Fuel1!M63</f>
        <v>113.47965946591772</v>
      </c>
      <c r="CI71" s="7">
        <f>MECS_Annual_Fuel1!N63</f>
        <v>107.05467343210731</v>
      </c>
      <c r="CJ71" s="7">
        <f>MECS_Annual_Fuel1!O63</f>
        <v>108.0675573372492</v>
      </c>
      <c r="CK71" s="7">
        <f>MECS_Annual_Fuel1!P63</f>
        <v>112.92234511482371</v>
      </c>
      <c r="CL71" s="7">
        <f>MECS_Annual_Fuel1!Q63</f>
        <v>126.83165939971266</v>
      </c>
      <c r="CM71" s="7">
        <f>MECS_Annual_Fuel1!R63</f>
        <v>112.60870645818754</v>
      </c>
      <c r="CN71" s="7">
        <f>MECS_Annual_Fuel1!S63</f>
        <v>106.43670136428443</v>
      </c>
      <c r="CO71" s="7">
        <f>MECS_Annual_Fuel1!T63</f>
        <v>116.85666400000001</v>
      </c>
      <c r="CP71" s="7">
        <f>MECS_Annual_Fuel1!U63</f>
        <v>123.53689957565348</v>
      </c>
      <c r="CQ71" s="7">
        <f>MECS_Annual_Fuel1!V63</f>
        <v>105.82598083764137</v>
      </c>
      <c r="CR71" s="7">
        <f>MECS_Annual_Fuel1!W63</f>
        <v>100.6870972290484</v>
      </c>
      <c r="CS71" s="7">
        <f>MECS_Annual_Fuel1!X63</f>
        <v>91.191044000000005</v>
      </c>
      <c r="CT71" s="7">
        <f>MECS_Annual_Fuel1!Y63</f>
        <v>77.406168726625395</v>
      </c>
      <c r="CU71" s="7">
        <f>MECS_Annual_Fuel1!Z63</f>
        <v>80.038938927797375</v>
      </c>
      <c r="CV71" s="7">
        <f>MECS_Annual_Fuel1!AA63</f>
        <v>81.01961365117613</v>
      </c>
      <c r="CW71" s="7">
        <f>MECS_Annual_Fuel1!AB63</f>
        <v>93.471671999999998</v>
      </c>
      <c r="CX71" s="7">
        <f>MECS_Annual_Fuel1!AC63</f>
        <v>100.2520387130355</v>
      </c>
      <c r="CY71" s="7">
        <f>MECS_Annual_Fuel1!AD63</f>
        <v>78.853051261641937</v>
      </c>
      <c r="CZ71" s="7">
        <f>MECS_Annual_Fuel1!AE63</f>
        <v>87.825004558862744</v>
      </c>
      <c r="DA71" s="7">
        <f>MECS_Annual_Fuel1!AF63</f>
        <v>78</v>
      </c>
      <c r="DB71" s="7">
        <f>MECS_Annual_Fuel1!AG63</f>
        <v>87.855529195606763</v>
      </c>
      <c r="DC71" s="7">
        <f>MECS_Annual_Fuel1!AH63</f>
        <v>83.277537047934089</v>
      </c>
      <c r="DD71" s="7">
        <f>MECS_Annual_Fuel1!AI63</f>
        <v>85.159713195512765</v>
      </c>
      <c r="DE71" s="7">
        <f>MECS_Annual_Fuel1!AJ63</f>
        <v>84</v>
      </c>
      <c r="DF71" s="7">
        <f>MECS_Annual_Fuel1!AK63</f>
        <v>91.210008731150793</v>
      </c>
      <c r="DG71" s="7">
        <f>MECS_Annual_Fuel1!AL63</f>
        <v>95.547646245422513</v>
      </c>
      <c r="DH71" s="7">
        <f>MECS_Annual_Fuel1!AM63</f>
        <v>93.885723189927347</v>
      </c>
      <c r="DI71" s="7"/>
      <c r="DL71">
        <v>0.67673622573292647</v>
      </c>
      <c r="DY71">
        <v>2017</v>
      </c>
      <c r="DZ71" s="49">
        <v>1061.6998274548725</v>
      </c>
      <c r="EA71" s="49">
        <v>78.338211968875697</v>
      </c>
      <c r="EB71" s="49">
        <v>4.9647133073011736</v>
      </c>
      <c r="EC71" s="49">
        <v>429.30426619607431</v>
      </c>
      <c r="ED71" s="49">
        <v>1920.6028756718433</v>
      </c>
      <c r="EE71" s="49">
        <v>48.826228708148577</v>
      </c>
      <c r="EF71" s="49">
        <v>2393.0286293869767</v>
      </c>
      <c r="EG71" s="49">
        <v>3611.5291991229756</v>
      </c>
      <c r="EH71" s="49">
        <v>134.51930028316804</v>
      </c>
      <c r="EI71" s="49">
        <v>777.91367304417702</v>
      </c>
      <c r="EJ71" s="49">
        <v>971.67780208199395</v>
      </c>
      <c r="EK71" s="49">
        <v>263.59014611965085</v>
      </c>
      <c r="EL71" s="49">
        <v>95.547646245422513</v>
      </c>
      <c r="EM71" s="49">
        <v>78.148456594430797</v>
      </c>
      <c r="EN71" s="49">
        <v>40.504609252761661</v>
      </c>
      <c r="EO71" s="49">
        <v>208.49515535683466</v>
      </c>
      <c r="EP71" s="49">
        <v>33.128867471795822</v>
      </c>
      <c r="EQ71" s="49">
        <v>39.212485077900489</v>
      </c>
    </row>
    <row r="72" spans="6:147" x14ac:dyDescent="0.2">
      <c r="AB72">
        <v>2677.7578599999997</v>
      </c>
      <c r="AC72">
        <v>2769.7808122320916</v>
      </c>
      <c r="AD72">
        <v>2700.7057971977733</v>
      </c>
      <c r="AE72">
        <v>2363.7300951480343</v>
      </c>
      <c r="CA72" t="str">
        <f>MECS_Annual_Fuel1!F64</f>
        <v>334</v>
      </c>
      <c r="CB72" s="7">
        <f>MECS_Annual_Fuel1!G64</f>
        <v>54.789455724294967</v>
      </c>
      <c r="CC72" s="7">
        <f>MECS_Annual_Fuel1!H64</f>
        <v>56.773381394787812</v>
      </c>
      <c r="CD72" s="7">
        <f>MECS_Annual_Fuel1!I64</f>
        <v>60.400035479019486</v>
      </c>
      <c r="CE72" s="7">
        <f>MECS_Annual_Fuel1!J64</f>
        <v>62.693189717341816</v>
      </c>
      <c r="CF72" s="7">
        <f>MECS_Annual_Fuel1!K64</f>
        <v>62.697248115282292</v>
      </c>
      <c r="CG72" s="7">
        <f>MECS_Annual_Fuel1!L64</f>
        <v>58.165999612572094</v>
      </c>
      <c r="CH72" s="7">
        <f>MECS_Annual_Fuel1!M64</f>
        <v>56.220714404637988</v>
      </c>
      <c r="CI72" s="7">
        <f>MECS_Annual_Fuel1!N64</f>
        <v>60.22308177563918</v>
      </c>
      <c r="CJ72" s="7">
        <f>MECS_Annual_Fuel1!O64</f>
        <v>64.59076180040033</v>
      </c>
      <c r="CK72" s="7">
        <f>MECS_Annual_Fuel1!P64</f>
        <v>66.930484972733723</v>
      </c>
      <c r="CL72" s="7">
        <f>MECS_Annual_Fuel1!Q64</f>
        <v>73.038453387793254</v>
      </c>
      <c r="CM72" s="7">
        <f>MECS_Annual_Fuel1!R64</f>
        <v>72.049060260742735</v>
      </c>
      <c r="CN72" s="7">
        <f>MECS_Annual_Fuel1!S64</f>
        <v>65.619117583298419</v>
      </c>
      <c r="CO72" s="7">
        <f>MECS_Annual_Fuel1!T64</f>
        <v>67.813715999999999</v>
      </c>
      <c r="CP72" s="7">
        <f>MECS_Annual_Fuel1!U64</f>
        <v>75.412349760347183</v>
      </c>
      <c r="CQ72" s="7">
        <f>MECS_Annual_Fuel1!V64</f>
        <v>77.55543180251361</v>
      </c>
      <c r="CR72" s="7">
        <f>MECS_Annual_Fuel1!W64</f>
        <v>65.334678752934266</v>
      </c>
      <c r="CS72" s="7">
        <f>MECS_Annual_Fuel1!X64</f>
        <v>69.142976000000004</v>
      </c>
      <c r="CT72" s="7">
        <f>MECS_Annual_Fuel1!Y64</f>
        <v>51.968914187404209</v>
      </c>
      <c r="CU72" s="7">
        <f>MECS_Annual_Fuel1!Z64</f>
        <v>42.613564787609363</v>
      </c>
      <c r="CV72" s="7">
        <f>MECS_Annual_Fuel1!AA64</f>
        <v>42.539054285313028</v>
      </c>
      <c r="CW72" s="7">
        <f>MECS_Annual_Fuel1!AB64</f>
        <v>47.139291999999998</v>
      </c>
      <c r="CX72" s="7">
        <f>MECS_Annual_Fuel1!AC64</f>
        <v>59.317149731278079</v>
      </c>
      <c r="CY72" s="7">
        <f>MECS_Annual_Fuel1!AD64</f>
        <v>43.705219316728574</v>
      </c>
      <c r="CZ72" s="7">
        <f>MECS_Annual_Fuel1!AE64</f>
        <v>43.349239751799061</v>
      </c>
      <c r="DA72" s="7">
        <f>MECS_Annual_Fuel1!AF64</f>
        <v>43</v>
      </c>
      <c r="DB72" s="7">
        <f>MECS_Annual_Fuel1!AG64</f>
        <v>49.219159610574309</v>
      </c>
      <c r="DC72" s="7">
        <f>MECS_Annual_Fuel1!AH64</f>
        <v>52.591791695115887</v>
      </c>
      <c r="DD72" s="7">
        <f>MECS_Annual_Fuel1!AI64</f>
        <v>49.834979659611527</v>
      </c>
      <c r="DE72" s="7">
        <f>MECS_Annual_Fuel1!AJ64</f>
        <v>50</v>
      </c>
      <c r="DF72" s="7">
        <f>MECS_Annual_Fuel1!AK64</f>
        <v>67.394282393857807</v>
      </c>
      <c r="DG72" s="7">
        <f>MECS_Annual_Fuel1!AL64</f>
        <v>78.148456594430797</v>
      </c>
      <c r="DH72" s="7">
        <f>MECS_Annual_Fuel1!AM64</f>
        <v>115.00668055372442</v>
      </c>
      <c r="DI72" s="7"/>
      <c r="DL72">
        <f>CORREL(DL39:DL61,DM39:DM61)</f>
        <v>0.8981614648421834</v>
      </c>
      <c r="DY72">
        <v>2018</v>
      </c>
      <c r="DZ72" s="117">
        <v>971.69780095161491</v>
      </c>
      <c r="EA72" s="117">
        <v>58.42197502449914</v>
      </c>
      <c r="EB72" s="117">
        <v>4.2770219585491782</v>
      </c>
      <c r="EC72" s="117">
        <v>458.23367249135623</v>
      </c>
      <c r="ED72" s="117">
        <v>1793.6389598515498</v>
      </c>
      <c r="EE72" s="117">
        <v>59.497184411456416</v>
      </c>
      <c r="EF72" s="117">
        <v>2653.5491863240372</v>
      </c>
      <c r="EG72" s="117">
        <v>3286.1766212997227</v>
      </c>
      <c r="EH72" s="117">
        <v>157.39604481768811</v>
      </c>
      <c r="EI72" s="117">
        <v>714.07677883262534</v>
      </c>
      <c r="EJ72" s="117">
        <v>984.99162402591401</v>
      </c>
      <c r="EK72" s="117">
        <v>244.97167709150528</v>
      </c>
      <c r="EL72" s="117">
        <v>93.885723189927347</v>
      </c>
      <c r="EM72" s="117">
        <v>115.00668055372442</v>
      </c>
      <c r="EN72" s="117">
        <v>37.768124814892275</v>
      </c>
      <c r="EO72" s="117">
        <v>179.8142879532501</v>
      </c>
      <c r="EP72" s="117">
        <v>28.943222007530053</v>
      </c>
      <c r="EQ72" s="117">
        <v>38.943663904859179</v>
      </c>
    </row>
    <row r="73" spans="6:147" x14ac:dyDescent="0.2">
      <c r="BK73" s="52" t="s">
        <v>460</v>
      </c>
      <c r="CA73" t="str">
        <f>MECS_Annual_Fuel1!F65</f>
        <v>335</v>
      </c>
      <c r="CB73" s="7">
        <f>MECS_Annual_Fuel1!G65</f>
        <v>62.919467623803939</v>
      </c>
      <c r="CC73" s="7">
        <f>MECS_Annual_Fuel1!H65</f>
        <v>69.916919680982033</v>
      </c>
      <c r="CD73" s="7">
        <f>MECS_Annual_Fuel1!I65</f>
        <v>67.361584373291663</v>
      </c>
      <c r="CE73" s="7">
        <f>MECS_Annual_Fuel1!J65</f>
        <v>64.55717435203718</v>
      </c>
      <c r="CF73" s="7">
        <f>MECS_Annual_Fuel1!K65</f>
        <v>64.994227835018435</v>
      </c>
      <c r="CG73" s="7">
        <f>MECS_Annual_Fuel1!L65</f>
        <v>57.975944538459906</v>
      </c>
      <c r="CH73" s="7">
        <f>MECS_Annual_Fuel1!M65</f>
        <v>55.611292613491038</v>
      </c>
      <c r="CI73" s="7">
        <f>MECS_Annual_Fuel1!N65</f>
        <v>57.234985489425249</v>
      </c>
      <c r="CJ73" s="7">
        <f>MECS_Annual_Fuel1!O65</f>
        <v>62.688490345889321</v>
      </c>
      <c r="CK73" s="7">
        <f>MECS_Annual_Fuel1!P65</f>
        <v>67.848599515192888</v>
      </c>
      <c r="CL73" s="7">
        <f>MECS_Annual_Fuel1!Q65</f>
        <v>77.856750209741236</v>
      </c>
      <c r="CM73" s="7">
        <f>MECS_Annual_Fuel1!R65</f>
        <v>67.460163031968875</v>
      </c>
      <c r="CN73" s="7">
        <f>MECS_Annual_Fuel1!S65</f>
        <v>58.848707074425718</v>
      </c>
      <c r="CO73" s="7">
        <f>MECS_Annual_Fuel1!T65</f>
        <v>60.671008</v>
      </c>
      <c r="CP73" s="7">
        <f>MECS_Annual_Fuel1!U65</f>
        <v>66.741514974897328</v>
      </c>
      <c r="CQ73" s="7">
        <f>MECS_Annual_Fuel1!V65</f>
        <v>60.834662292932563</v>
      </c>
      <c r="CR73" s="7">
        <f>MECS_Annual_Fuel1!W65</f>
        <v>57.139295822194057</v>
      </c>
      <c r="CS73" s="7">
        <f>MECS_Annual_Fuel1!X65</f>
        <v>55.569788000000003</v>
      </c>
      <c r="CT73" s="7">
        <f>MECS_Annual_Fuel1!Y65</f>
        <v>46.141970005738216</v>
      </c>
      <c r="CU73" s="7">
        <f>MECS_Annual_Fuel1!Z65</f>
        <v>40.590875635963556</v>
      </c>
      <c r="CV73" s="7">
        <f>MECS_Annual_Fuel1!AA65</f>
        <v>39.675361294282581</v>
      </c>
      <c r="CW73" s="7">
        <f>MECS_Annual_Fuel1!AB65</f>
        <v>43.097796000000002</v>
      </c>
      <c r="CX73" s="7">
        <f>MECS_Annual_Fuel1!AC65</f>
        <v>45.825803281131591</v>
      </c>
      <c r="CY73" s="7">
        <f>MECS_Annual_Fuel1!AD65</f>
        <v>37.150422470058906</v>
      </c>
      <c r="CZ73" s="7">
        <f>MECS_Annual_Fuel1!AE65</f>
        <v>36.104547894183433</v>
      </c>
      <c r="DA73" s="7">
        <f>MECS_Annual_Fuel1!AF65</f>
        <v>38</v>
      </c>
      <c r="DB73" s="7">
        <f>MECS_Annual_Fuel1!AG65</f>
        <v>37.494398211204988</v>
      </c>
      <c r="DC73" s="7">
        <f>MECS_Annual_Fuel1!AH65</f>
        <v>33.121930438388155</v>
      </c>
      <c r="DD73" s="7">
        <f>MECS_Annual_Fuel1!AI65</f>
        <v>28.316056303566675</v>
      </c>
      <c r="DE73" s="7">
        <f>MECS_Annual_Fuel1!AJ65</f>
        <v>31</v>
      </c>
      <c r="DF73" s="7">
        <f>MECS_Annual_Fuel1!AK65</f>
        <v>36.617221564145147</v>
      </c>
      <c r="DG73" s="7">
        <f>MECS_Annual_Fuel1!AL65</f>
        <v>40.504609252761661</v>
      </c>
      <c r="DH73" s="7">
        <f>MECS_Annual_Fuel1!AM65</f>
        <v>37.768124814892275</v>
      </c>
      <c r="DI73" s="7"/>
      <c r="DL73">
        <f>CORREL(DL56:DL61,DM56:DM61)</f>
        <v>0.98386852134798497</v>
      </c>
    </row>
    <row r="74" spans="6:147" x14ac:dyDescent="0.2">
      <c r="G74">
        <f t="shared" ref="G74:AD74" si="140">G47</f>
        <v>1985</v>
      </c>
      <c r="H74">
        <f t="shared" si="140"/>
        <v>1986</v>
      </c>
      <c r="I74">
        <f t="shared" si="140"/>
        <v>1987</v>
      </c>
      <c r="J74">
        <f t="shared" si="140"/>
        <v>1988</v>
      </c>
      <c r="K74">
        <f t="shared" si="140"/>
        <v>1989</v>
      </c>
      <c r="L74">
        <f t="shared" si="140"/>
        <v>1990</v>
      </c>
      <c r="M74">
        <f t="shared" si="140"/>
        <v>1991</v>
      </c>
      <c r="N74">
        <f t="shared" si="140"/>
        <v>1992</v>
      </c>
      <c r="O74">
        <f t="shared" si="140"/>
        <v>1993</v>
      </c>
      <c r="P74">
        <f t="shared" si="140"/>
        <v>1994</v>
      </c>
      <c r="Q74">
        <f t="shared" si="140"/>
        <v>1995</v>
      </c>
      <c r="R74">
        <f t="shared" si="140"/>
        <v>1996</v>
      </c>
      <c r="S74">
        <f t="shared" si="140"/>
        <v>1997</v>
      </c>
      <c r="T74">
        <f t="shared" si="140"/>
        <v>1998</v>
      </c>
      <c r="U74">
        <f t="shared" si="140"/>
        <v>1999</v>
      </c>
      <c r="V74">
        <f t="shared" si="140"/>
        <v>2000</v>
      </c>
      <c r="W74">
        <f t="shared" si="140"/>
        <v>2001</v>
      </c>
      <c r="X74">
        <f t="shared" si="140"/>
        <v>2002</v>
      </c>
      <c r="Y74">
        <f t="shared" si="140"/>
        <v>2003</v>
      </c>
      <c r="Z74">
        <f t="shared" si="140"/>
        <v>2004</v>
      </c>
      <c r="AA74">
        <f t="shared" si="140"/>
        <v>2005</v>
      </c>
      <c r="AB74">
        <f t="shared" si="140"/>
        <v>2006</v>
      </c>
      <c r="AC74">
        <f t="shared" si="140"/>
        <v>2007</v>
      </c>
      <c r="AD74">
        <f t="shared" si="140"/>
        <v>2008</v>
      </c>
      <c r="AE74">
        <f>AE47</f>
        <v>2009</v>
      </c>
      <c r="AF74">
        <f>AF47</f>
        <v>2010</v>
      </c>
      <c r="AG74">
        <f>AG47</f>
        <v>2011</v>
      </c>
      <c r="AH74">
        <v>2012</v>
      </c>
      <c r="AI74">
        <v>2013</v>
      </c>
      <c r="AJ74">
        <v>2014</v>
      </c>
      <c r="AK74">
        <v>2015</v>
      </c>
      <c r="AL74">
        <v>2016</v>
      </c>
      <c r="AM74">
        <v>2017</v>
      </c>
      <c r="BK74" s="52" t="s">
        <v>23</v>
      </c>
      <c r="BL74" s="52" t="s">
        <v>463</v>
      </c>
      <c r="CA74" t="str">
        <f>MECS_Annual_Fuel1!F66</f>
        <v>336</v>
      </c>
      <c r="CB74" s="7">
        <f>MECS_Annual_Fuel1!G66</f>
        <v>234.98001273849101</v>
      </c>
      <c r="CC74" s="7">
        <f>MECS_Annual_Fuel1!H66</f>
        <v>244.14932796917603</v>
      </c>
      <c r="CD74" s="7">
        <f>MECS_Annual_Fuel1!I66</f>
        <v>242.38099655777575</v>
      </c>
      <c r="CE74" s="7">
        <f>MECS_Annual_Fuel1!J66</f>
        <v>254.78050349600764</v>
      </c>
      <c r="CF74" s="7">
        <f>MECS_Annual_Fuel1!K66</f>
        <v>251.14742131079424</v>
      </c>
      <c r="CG74" s="7">
        <f>MECS_Annual_Fuel1!L66</f>
        <v>237.32816845389928</v>
      </c>
      <c r="CH74" s="7">
        <f>MECS_Annual_Fuel1!M66</f>
        <v>244.13057132985355</v>
      </c>
      <c r="CI74" s="7">
        <f>MECS_Annual_Fuel1!N66</f>
        <v>253.07663671240181</v>
      </c>
      <c r="CJ74" s="7">
        <f>MECS_Annual_Fuel1!O66</f>
        <v>281.57130919761488</v>
      </c>
      <c r="CK74" s="7">
        <f>MECS_Annual_Fuel1!P66</f>
        <v>260.23443301298028</v>
      </c>
      <c r="CL74" s="7">
        <f>MECS_Annual_Fuel1!Q66</f>
        <v>278.41898668330401</v>
      </c>
      <c r="CM74" s="7">
        <f>MECS_Annual_Fuel1!R66</f>
        <v>260.19136025138812</v>
      </c>
      <c r="CN74" s="7">
        <f>MECS_Annual_Fuel1!S66</f>
        <v>258.23641416413506</v>
      </c>
      <c r="CO74" s="7">
        <f>MECS_Annual_Fuel1!T66</f>
        <v>292.75512400000002</v>
      </c>
      <c r="CP74" s="7">
        <f>MECS_Annual_Fuel1!U66</f>
        <v>276.64336592279864</v>
      </c>
      <c r="CQ74" s="7">
        <f>MECS_Annual_Fuel1!V66</f>
        <v>246.84021245432757</v>
      </c>
      <c r="CR74" s="7">
        <f>MECS_Annual_Fuel1!W66</f>
        <v>257.20038854295694</v>
      </c>
      <c r="CS74" s="7">
        <f>MECS_Annual_Fuel1!X66</f>
        <v>251.66670399999998</v>
      </c>
      <c r="CT74" s="7">
        <f>MECS_Annual_Fuel1!Y66</f>
        <v>229.98821579246055</v>
      </c>
      <c r="CU74" s="7">
        <f>MECS_Annual_Fuel1!Z66</f>
        <v>241.72063665115977</v>
      </c>
      <c r="CV74" s="7">
        <f>MECS_Annual_Fuel1!AA66</f>
        <v>235.38043019571958</v>
      </c>
      <c r="CW74" s="7">
        <f>MECS_Annual_Fuel1!AB66</f>
        <v>283.93937199999999</v>
      </c>
      <c r="CX74" s="7">
        <f>MECS_Annual_Fuel1!AC66</f>
        <v>255.92503066606668</v>
      </c>
      <c r="CY74" s="7">
        <f>MECS_Annual_Fuel1!AD66</f>
        <v>178.02133203826156</v>
      </c>
      <c r="CZ74" s="7">
        <f>MECS_Annual_Fuel1!AE66</f>
        <v>172.38272816028737</v>
      </c>
      <c r="DA74" s="7">
        <f>MECS_Annual_Fuel1!AF66</f>
        <v>143</v>
      </c>
      <c r="DB74" s="7">
        <f>MECS_Annual_Fuel1!AG66</f>
        <v>150.92000632672566</v>
      </c>
      <c r="DC74" s="7">
        <f>MECS_Annual_Fuel1!AH66</f>
        <v>147.50185586468626</v>
      </c>
      <c r="DD74" s="7">
        <f>MECS_Annual_Fuel1!AI66</f>
        <v>152.54903819923609</v>
      </c>
      <c r="DE74" s="7">
        <f>MECS_Annual_Fuel1!AJ66</f>
        <v>164</v>
      </c>
      <c r="DF74" s="7">
        <f>MECS_Annual_Fuel1!AK66</f>
        <v>195.87148502702223</v>
      </c>
      <c r="DG74" s="7">
        <f>MECS_Annual_Fuel1!AL66</f>
        <v>208.49515535683466</v>
      </c>
      <c r="DH74" s="7">
        <f>MECS_Annual_Fuel1!AM66</f>
        <v>179.8142879532501</v>
      </c>
      <c r="DI74" s="7"/>
    </row>
    <row r="75" spans="6:147" x14ac:dyDescent="0.2">
      <c r="F75" t="str">
        <f t="shared" ref="F75:AD75" si="141">F55</f>
        <v>322</v>
      </c>
      <c r="G75">
        <f t="shared" si="141"/>
        <v>2017.3632372266716</v>
      </c>
      <c r="H75">
        <f t="shared" si="141"/>
        <v>2185.7420891092902</v>
      </c>
      <c r="I75">
        <f t="shared" si="141"/>
        <v>2167.9174255288149</v>
      </c>
      <c r="J75">
        <f t="shared" si="141"/>
        <v>2153.9562641132611</v>
      </c>
      <c r="K75">
        <f t="shared" si="141"/>
        <v>2213.0471422891374</v>
      </c>
      <c r="L75">
        <f t="shared" si="141"/>
        <v>2350.5908952008981</v>
      </c>
      <c r="M75">
        <f t="shared" si="141"/>
        <v>2267.2367478194155</v>
      </c>
      <c r="N75">
        <f t="shared" si="141"/>
        <v>2323.9149041441701</v>
      </c>
      <c r="O75">
        <f t="shared" si="141"/>
        <v>2422.306131810823</v>
      </c>
      <c r="P75">
        <f t="shared" si="141"/>
        <v>2406.5414497255788</v>
      </c>
      <c r="Q75">
        <f t="shared" si="141"/>
        <v>2469.5193494741152</v>
      </c>
      <c r="R75">
        <f t="shared" si="141"/>
        <v>2433.386759999657</v>
      </c>
      <c r="S75">
        <f t="shared" si="141"/>
        <v>2419.8042180806001</v>
      </c>
      <c r="T75">
        <f t="shared" si="141"/>
        <v>2503.918032</v>
      </c>
      <c r="U75">
        <f t="shared" si="141"/>
        <v>2365.3738609324801</v>
      </c>
      <c r="V75">
        <f t="shared" si="141"/>
        <v>2379.1675428212411</v>
      </c>
      <c r="W75">
        <f t="shared" si="141"/>
        <v>2251.0650826608944</v>
      </c>
      <c r="X75">
        <f t="shared" si="141"/>
        <v>2137.503764</v>
      </c>
      <c r="Y75">
        <f t="shared" si="141"/>
        <v>2136.2773725826887</v>
      </c>
      <c r="Z75">
        <f t="shared" si="141"/>
        <v>2193.4125594876432</v>
      </c>
      <c r="AA75">
        <f t="shared" si="141"/>
        <v>2213.1160558606671</v>
      </c>
      <c r="AB75">
        <f t="shared" si="141"/>
        <v>2106.5685840000001</v>
      </c>
      <c r="AC75">
        <f t="shared" si="141"/>
        <v>2150.1800317573543</v>
      </c>
      <c r="AD75">
        <f t="shared" si="141"/>
        <v>1955.3043092340858</v>
      </c>
      <c r="AE75">
        <f t="shared" ref="AE75:AF78" si="142">AE55</f>
        <v>1858.2918324601335</v>
      </c>
      <c r="AF75">
        <f t="shared" si="142"/>
        <v>1904</v>
      </c>
      <c r="AG75">
        <f t="shared" ref="AG75:AJ75" si="143">AG55</f>
        <v>1947.0947983266572</v>
      </c>
      <c r="AH75">
        <f t="shared" si="143"/>
        <v>1931.4279896091687</v>
      </c>
      <c r="AI75">
        <f t="shared" si="143"/>
        <v>1858.5512267495544</v>
      </c>
      <c r="AJ75">
        <f t="shared" si="143"/>
        <v>1899</v>
      </c>
      <c r="AK75">
        <f t="shared" ref="AK75:AM75" si="144">AK55</f>
        <v>1943.5627767764981</v>
      </c>
      <c r="AL75">
        <f t="shared" si="144"/>
        <v>1928.1742389513456</v>
      </c>
      <c r="AM75">
        <f t="shared" si="144"/>
        <v>1799.6227304249944</v>
      </c>
      <c r="CA75" t="str">
        <f>MECS_Annual_Fuel1!F67</f>
        <v>337</v>
      </c>
      <c r="CB75" s="7">
        <f>MECS_Annual_Fuel1!G67</f>
        <v>37.383822846973821</v>
      </c>
      <c r="CC75" s="7">
        <f>MECS_Annual_Fuel1!H67</f>
        <v>42.985850897299549</v>
      </c>
      <c r="CD75" s="7">
        <f>MECS_Annual_Fuel1!I67</f>
        <v>46.939987356383909</v>
      </c>
      <c r="CE75" s="7">
        <f>MECS_Annual_Fuel1!J67</f>
        <v>48.640156995919362</v>
      </c>
      <c r="CF75" s="7">
        <f>MECS_Annual_Fuel1!K67</f>
        <v>54.790411286187279</v>
      </c>
      <c r="CG75" s="7">
        <f>MECS_Annual_Fuel1!L67</f>
        <v>52.543324444208949</v>
      </c>
      <c r="CH75" s="7">
        <f>MECS_Annual_Fuel1!M67</f>
        <v>55.8843501953478</v>
      </c>
      <c r="CI75" s="7">
        <f>MECS_Annual_Fuel1!N67</f>
        <v>52.652898635297085</v>
      </c>
      <c r="CJ75" s="7">
        <f>MECS_Annual_Fuel1!O67</f>
        <v>50.694628080839159</v>
      </c>
      <c r="CK75" s="7">
        <f>MECS_Annual_Fuel1!P67</f>
        <v>47.300771088826892</v>
      </c>
      <c r="CL75" s="7">
        <f>MECS_Annual_Fuel1!Q67</f>
        <v>55.003014814745541</v>
      </c>
      <c r="CM75" s="7">
        <f>MECS_Annual_Fuel1!R67</f>
        <v>51.030768858049989</v>
      </c>
      <c r="CN75" s="7">
        <f>MECS_Annual_Fuel1!S67</f>
        <v>51.656782449462625</v>
      </c>
      <c r="CO75" s="7">
        <f>MECS_Annual_Fuel1!T67</f>
        <v>58.499848</v>
      </c>
      <c r="CP75" s="7">
        <f>MECS_Annual_Fuel1!U67</f>
        <v>60.507721609016151</v>
      </c>
      <c r="CQ75" s="7">
        <f>MECS_Annual_Fuel1!V67</f>
        <v>50.020066867969469</v>
      </c>
      <c r="CR75" s="7">
        <f>MECS_Annual_Fuel1!W67</f>
        <v>42.856703444423736</v>
      </c>
      <c r="CS75" s="7">
        <f>MECS_Annual_Fuel1!X67</f>
        <v>38.904455999999996</v>
      </c>
      <c r="CT75" s="7">
        <f>MECS_Annual_Fuel1!Y67</f>
        <v>29.433026608129488</v>
      </c>
      <c r="CU75" s="7">
        <f>MECS_Annual_Fuel1!Z67</f>
        <v>28.467484332631365</v>
      </c>
      <c r="CV75" s="7">
        <f>MECS_Annual_Fuel1!AA67</f>
        <v>26.177017904743494</v>
      </c>
      <c r="CW75" s="7">
        <f>MECS_Annual_Fuel1!AB67</f>
        <v>28.391231999999999</v>
      </c>
      <c r="CX75" s="7">
        <f>MECS_Annual_Fuel1!AC67</f>
        <v>27.714561877145339</v>
      </c>
      <c r="CY75" s="7">
        <f>MECS_Annual_Fuel1!AD67</f>
        <v>21.906717243100903</v>
      </c>
      <c r="CZ75" s="7">
        <f>MECS_Annual_Fuel1!AE67</f>
        <v>22.324842479284005</v>
      </c>
      <c r="DA75" s="7">
        <f>MECS_Annual_Fuel1!AF67</f>
        <v>19</v>
      </c>
      <c r="DB75" s="7">
        <f>MECS_Annual_Fuel1!AG67</f>
        <v>19.114039343101386</v>
      </c>
      <c r="DC75" s="7">
        <f>MECS_Annual_Fuel1!AH67</f>
        <v>20.810421304257442</v>
      </c>
      <c r="DD75" s="7">
        <f>MECS_Annual_Fuel1!AI67</f>
        <v>19.613149087444253</v>
      </c>
      <c r="DE75" s="7">
        <f>MECS_Annual_Fuel1!AJ67</f>
        <v>20</v>
      </c>
      <c r="DF75" s="7">
        <f>MECS_Annual_Fuel1!AK67</f>
        <v>30.305461091321359</v>
      </c>
      <c r="DG75" s="7">
        <f>MECS_Annual_Fuel1!AL67</f>
        <v>33.128867471795822</v>
      </c>
      <c r="DH75" s="7">
        <f>MECS_Annual_Fuel1!AM67</f>
        <v>28.943222007530053</v>
      </c>
      <c r="DI75" s="7"/>
    </row>
    <row r="76" spans="6:147" x14ac:dyDescent="0.2">
      <c r="F76" t="str">
        <f t="shared" ref="F76:AD76" si="145">F56</f>
        <v>323</v>
      </c>
      <c r="G76">
        <f t="shared" si="145"/>
        <v>26.699079874753146</v>
      </c>
      <c r="H76">
        <f t="shared" si="145"/>
        <v>29.673834822986024</v>
      </c>
      <c r="I76">
        <f t="shared" si="145"/>
        <v>34.872850055727547</v>
      </c>
      <c r="J76">
        <f t="shared" si="145"/>
        <v>40.089746346787351</v>
      </c>
      <c r="K76">
        <f t="shared" si="145"/>
        <v>39.472957001976042</v>
      </c>
      <c r="L76">
        <f t="shared" si="145"/>
        <v>40.115553512094927</v>
      </c>
      <c r="M76">
        <f t="shared" si="145"/>
        <v>38.576483481067747</v>
      </c>
      <c r="N76">
        <f t="shared" si="145"/>
        <v>38.249269868458356</v>
      </c>
      <c r="O76">
        <f t="shared" si="145"/>
        <v>39.117927782255769</v>
      </c>
      <c r="P76">
        <f t="shared" si="145"/>
        <v>37.113573244007682</v>
      </c>
      <c r="Q76">
        <f t="shared" si="145"/>
        <v>39.956553539447306</v>
      </c>
      <c r="R76">
        <f t="shared" si="145"/>
        <v>41.969957276170064</v>
      </c>
      <c r="S76">
        <f t="shared" si="145"/>
        <v>44.230845172679878</v>
      </c>
      <c r="T76">
        <f t="shared" si="145"/>
        <v>47.004247999999997</v>
      </c>
      <c r="U76">
        <f t="shared" si="145"/>
        <v>47.240438646063247</v>
      </c>
      <c r="V76">
        <f t="shared" si="145"/>
        <v>49.877730982503209</v>
      </c>
      <c r="W76">
        <f t="shared" si="145"/>
        <v>49.290041522731229</v>
      </c>
      <c r="X76">
        <f t="shared" si="145"/>
        <v>47.795832000000004</v>
      </c>
      <c r="Y76">
        <f t="shared" si="145"/>
        <v>44.805577596795843</v>
      </c>
      <c r="Z76">
        <f t="shared" si="145"/>
        <v>47.724610919701639</v>
      </c>
      <c r="AA76">
        <f t="shared" si="145"/>
        <v>44.771707788812314</v>
      </c>
      <c r="AB76">
        <f t="shared" si="145"/>
        <v>40.374451999999998</v>
      </c>
      <c r="AC76">
        <f t="shared" si="145"/>
        <v>39.680241781726473</v>
      </c>
      <c r="AD76">
        <f t="shared" si="145"/>
        <v>41.635466330434035</v>
      </c>
      <c r="AE76">
        <f t="shared" si="142"/>
        <v>35.798656495699362</v>
      </c>
      <c r="AF76">
        <f t="shared" si="142"/>
        <v>36</v>
      </c>
      <c r="AG76">
        <f t="shared" ref="AG76:AJ76" si="146">AG56</f>
        <v>37.239600146478182</v>
      </c>
      <c r="AH76">
        <f t="shared" si="146"/>
        <v>37.047201548658769</v>
      </c>
      <c r="AI76">
        <f t="shared" si="146"/>
        <v>38.731793265159865</v>
      </c>
      <c r="AJ76">
        <f t="shared" si="146"/>
        <v>40</v>
      </c>
      <c r="AK76">
        <f t="shared" ref="AK76:AM76" si="147">AK56</f>
        <v>39.208928328830737</v>
      </c>
      <c r="AL76">
        <f t="shared" si="147"/>
        <v>38.773606562144806</v>
      </c>
      <c r="AM76">
        <f t="shared" si="147"/>
        <v>32.416093334231064</v>
      </c>
      <c r="BJ76" t="s">
        <v>154</v>
      </c>
      <c r="BK76">
        <f>CORREL(BK39:BK60,BN39:BN60)</f>
        <v>0.91750114220365353</v>
      </c>
      <c r="BL76">
        <f>CORREL(BL39:BL68,BN39:BN68)</f>
        <v>0.83030807298655784</v>
      </c>
      <c r="BM76" s="52" t="s">
        <v>462</v>
      </c>
      <c r="CA76" t="str">
        <f>MECS_Annual_Fuel1!F68</f>
        <v>339</v>
      </c>
      <c r="CB76" s="7">
        <f>MECS_Annual_Fuel1!G68</f>
        <v>33.863505680901589</v>
      </c>
      <c r="CC76" s="7">
        <f>MECS_Annual_Fuel1!H68</f>
        <v>39.628355216449528</v>
      </c>
      <c r="CD76" s="7">
        <f>MECS_Annual_Fuel1!I68</f>
        <v>43.311356676392833</v>
      </c>
      <c r="CE76" s="7">
        <f>MECS_Annual_Fuel1!J68</f>
        <v>45.434393503358493</v>
      </c>
      <c r="CF76" s="7">
        <f>MECS_Annual_Fuel1!K68</f>
        <v>41.18066817037402</v>
      </c>
      <c r="CG76" s="7">
        <f>MECS_Annual_Fuel1!L68</f>
        <v>38.691516089207084</v>
      </c>
      <c r="CH76" s="7">
        <f>MECS_Annual_Fuel1!M68</f>
        <v>34.793804965135031</v>
      </c>
      <c r="CI76" s="7">
        <f>MECS_Annual_Fuel1!N68</f>
        <v>38.845725201786685</v>
      </c>
      <c r="CJ76" s="7">
        <f>MECS_Annual_Fuel1!O68</f>
        <v>43.649220105879621</v>
      </c>
      <c r="CK76" s="7">
        <f>MECS_Annual_Fuel1!P68</f>
        <v>48.376910834473634</v>
      </c>
      <c r="CL76" s="7">
        <f>MECS_Annual_Fuel1!Q68</f>
        <v>54.003433472495793</v>
      </c>
      <c r="CM76" s="7">
        <f>MECS_Annual_Fuel1!R68</f>
        <v>44.191956365805062</v>
      </c>
      <c r="CN76" s="7">
        <f>MECS_Annual_Fuel1!S68</f>
        <v>42.319065802984603</v>
      </c>
      <c r="CO76" s="7">
        <f>MECS_Annual_Fuel1!T68</f>
        <v>47.700868</v>
      </c>
      <c r="CP76" s="7">
        <f>MECS_Annual_Fuel1!U68</f>
        <v>46.745155175063296</v>
      </c>
      <c r="CQ76" s="7">
        <f>MECS_Annual_Fuel1!V68</f>
        <v>38.101014045070116</v>
      </c>
      <c r="CR76" s="7">
        <f>MECS_Annual_Fuel1!W68</f>
        <v>33.200659911387405</v>
      </c>
      <c r="CS76" s="7">
        <f>MECS_Annual_Fuel1!X68</f>
        <v>35.603912000000001</v>
      </c>
      <c r="CT76" s="7">
        <f>MECS_Annual_Fuel1!Y68</f>
        <v>30.337702942254708</v>
      </c>
      <c r="CU76" s="7">
        <f>MECS_Annual_Fuel1!Z68</f>
        <v>28.689353232890731</v>
      </c>
      <c r="CV76" s="7">
        <f>MECS_Annual_Fuel1!AA68</f>
        <v>27.696006039892389</v>
      </c>
      <c r="CW76" s="7">
        <f>MECS_Annual_Fuel1!AB68</f>
        <v>32.982075999999999</v>
      </c>
      <c r="CX76" s="7">
        <f>MECS_Annual_Fuel1!AC68</f>
        <v>31.838460359608138</v>
      </c>
      <c r="CY76" s="7">
        <f>MECS_Annual_Fuel1!AD68</f>
        <v>20.608192835341118</v>
      </c>
      <c r="CZ76" s="7">
        <f>MECS_Annual_Fuel1!AE68</f>
        <v>22.524890856185063</v>
      </c>
      <c r="DA76" s="7">
        <f>MECS_Annual_Fuel1!AF68</f>
        <v>17</v>
      </c>
      <c r="DB76" s="7">
        <f>MECS_Annual_Fuel1!AG68</f>
        <v>20.193387797529102</v>
      </c>
      <c r="DC76" s="7">
        <f>MECS_Annual_Fuel1!AH68</f>
        <v>22.881220733375581</v>
      </c>
      <c r="DD76" s="7">
        <f>MECS_Annual_Fuel1!AI68</f>
        <v>27.617340891758243</v>
      </c>
      <c r="DE76" s="7">
        <f>MECS_Annual_Fuel1!AJ68</f>
        <v>28</v>
      </c>
      <c r="DF76" s="7">
        <f>MECS_Annual_Fuel1!AK68</f>
        <v>34.370638862344556</v>
      </c>
      <c r="DG76" s="7">
        <f>MECS_Annual_Fuel1!AL68</f>
        <v>39.212485077900489</v>
      </c>
      <c r="DH76" s="7">
        <f>MECS_Annual_Fuel1!AM68</f>
        <v>38.943663904859179</v>
      </c>
      <c r="DI76" s="7"/>
    </row>
    <row r="77" spans="6:147" x14ac:dyDescent="0.2">
      <c r="F77" t="str">
        <f t="shared" ref="F77:AD77" si="148">F57</f>
        <v>324</v>
      </c>
      <c r="G77">
        <f t="shared" si="148"/>
        <v>2519.6333802647096</v>
      </c>
      <c r="H77">
        <f t="shared" si="148"/>
        <v>2850.2471338482869</v>
      </c>
      <c r="I77">
        <f t="shared" si="148"/>
        <v>2753.6476622858058</v>
      </c>
      <c r="J77">
        <f t="shared" si="148"/>
        <v>3018.3157833208888</v>
      </c>
      <c r="K77">
        <f t="shared" si="148"/>
        <v>2965.3762841158969</v>
      </c>
      <c r="L77">
        <f t="shared" si="148"/>
        <v>2981.7236021574176</v>
      </c>
      <c r="M77">
        <f t="shared" si="148"/>
        <v>2884.3712617836486</v>
      </c>
      <c r="N77">
        <f t="shared" si="148"/>
        <v>2978.6197025599158</v>
      </c>
      <c r="O77">
        <f t="shared" si="148"/>
        <v>2970.8276442091383</v>
      </c>
      <c r="P77">
        <f t="shared" si="148"/>
        <v>3144.6947232151383</v>
      </c>
      <c r="Q77">
        <f t="shared" si="148"/>
        <v>3318.3953852069985</v>
      </c>
      <c r="R77">
        <f t="shared" si="148"/>
        <v>3430.9762747528257</v>
      </c>
      <c r="S77">
        <f t="shared" si="148"/>
        <v>3465.1910244853348</v>
      </c>
      <c r="T77">
        <f t="shared" si="148"/>
        <v>3495.5546920000002</v>
      </c>
      <c r="U77">
        <f t="shared" si="148"/>
        <v>3559.9686790500004</v>
      </c>
      <c r="V77">
        <f t="shared" si="148"/>
        <v>3613.8718330000002</v>
      </c>
      <c r="W77">
        <f t="shared" si="148"/>
        <v>3494.7027549010036</v>
      </c>
      <c r="X77">
        <f t="shared" si="148"/>
        <v>3075.1213680000001</v>
      </c>
      <c r="Y77">
        <f t="shared" si="148"/>
        <v>2986.514133005855</v>
      </c>
      <c r="Z77">
        <f t="shared" si="148"/>
        <v>3077.7580838021422</v>
      </c>
      <c r="AA77">
        <f t="shared" si="148"/>
        <v>3370.7901598183917</v>
      </c>
      <c r="AB77">
        <f t="shared" si="148"/>
        <v>3259.0627920000002</v>
      </c>
      <c r="AC77">
        <f t="shared" si="148"/>
        <v>3233.695904757873</v>
      </c>
      <c r="AD77">
        <f t="shared" si="148"/>
        <v>3327.9701282444062</v>
      </c>
      <c r="AE77">
        <f t="shared" si="142"/>
        <v>3130.9523370717566</v>
      </c>
      <c r="AF77">
        <f t="shared" si="142"/>
        <v>3159</v>
      </c>
      <c r="AG77">
        <f t="shared" ref="AG77:AJ77" si="149">AG57</f>
        <v>3259.7653584959421</v>
      </c>
      <c r="AH77">
        <f t="shared" si="149"/>
        <v>3277.6362344421555</v>
      </c>
      <c r="AI77">
        <f t="shared" si="149"/>
        <v>3255.8559654963292</v>
      </c>
      <c r="AJ77">
        <f t="shared" si="149"/>
        <v>3346</v>
      </c>
      <c r="AK77">
        <f t="shared" ref="AK77:AM77" si="150">AK57</f>
        <v>3331.2874631205109</v>
      </c>
      <c r="AL77">
        <f t="shared" si="150"/>
        <v>3306.4003398237573</v>
      </c>
      <c r="AM77">
        <f t="shared" si="150"/>
        <v>3535.4876338208101</v>
      </c>
      <c r="BJ77" t="s">
        <v>155</v>
      </c>
      <c r="BK77">
        <f>CORREL(BK56:BK68,BN56:BN68)</f>
        <v>0.6516409658020782</v>
      </c>
      <c r="BL77">
        <f>CORREL(BL56:BL68,BN56:BN68)</f>
        <v>0.80039857087540645</v>
      </c>
      <c r="BM77" s="52" t="s">
        <v>461</v>
      </c>
      <c r="CB77" s="7">
        <f>SUM(CB59:CB76)</f>
        <v>11405.381661116657</v>
      </c>
      <c r="CC77" s="7">
        <f t="shared" ref="CC77:DH77" si="151">SUM(CC59:CC76)</f>
        <v>11398.401338339347</v>
      </c>
      <c r="CD77" s="7">
        <f t="shared" si="151"/>
        <v>11824.903702251868</v>
      </c>
      <c r="CE77" s="7">
        <f t="shared" si="151"/>
        <v>13042.115484022981</v>
      </c>
      <c r="CF77" s="7">
        <f t="shared" si="151"/>
        <v>13031.66415840178</v>
      </c>
      <c r="CG77" s="7">
        <f t="shared" si="151"/>
        <v>13045.831639619726</v>
      </c>
      <c r="CH77" s="7">
        <f t="shared" si="151"/>
        <v>12599.548369464048</v>
      </c>
      <c r="CI77" s="7">
        <f t="shared" si="151"/>
        <v>12897.065482770506</v>
      </c>
      <c r="CJ77" s="7">
        <f t="shared" si="151"/>
        <v>13805.083603961704</v>
      </c>
      <c r="CK77" s="7">
        <f t="shared" si="151"/>
        <v>13805.955934019132</v>
      </c>
      <c r="CL77" s="7">
        <f t="shared" si="151"/>
        <v>14100.248987193518</v>
      </c>
      <c r="CM77" s="7">
        <f t="shared" si="151"/>
        <v>13825.46659221253</v>
      </c>
      <c r="CN77" s="7">
        <f t="shared" si="151"/>
        <v>13443.556830524347</v>
      </c>
      <c r="CO77" s="7">
        <f t="shared" si="151"/>
        <v>14659.114711999997</v>
      </c>
      <c r="CP77" s="7">
        <f t="shared" si="151"/>
        <v>15107.987323717851</v>
      </c>
      <c r="CQ77" s="7">
        <f t="shared" si="151"/>
        <v>14949.547628319633</v>
      </c>
      <c r="CR77" s="7">
        <f t="shared" si="151"/>
        <v>14462.915348384695</v>
      </c>
      <c r="CS77" s="7">
        <f t="shared" si="151"/>
        <v>13433.641368000002</v>
      </c>
      <c r="CT77" s="7">
        <f t="shared" si="151"/>
        <v>12683.97905434305</v>
      </c>
      <c r="CU77" s="7">
        <f t="shared" si="151"/>
        <v>12662.2812968331</v>
      </c>
      <c r="CV77" s="7">
        <f t="shared" si="151"/>
        <v>12496.464302974078</v>
      </c>
      <c r="CW77" s="7">
        <f t="shared" si="151"/>
        <v>12805.585636000002</v>
      </c>
      <c r="CX77" s="7">
        <f t="shared" si="151"/>
        <v>12854.449485866866</v>
      </c>
      <c r="CY77" s="7">
        <f t="shared" si="151"/>
        <v>12079.741878083896</v>
      </c>
      <c r="CZ77" s="7">
        <f t="shared" si="151"/>
        <v>10850.372611996912</v>
      </c>
      <c r="DA77" s="7">
        <f t="shared" si="151"/>
        <v>11795</v>
      </c>
      <c r="DB77" s="7">
        <f t="shared" si="151"/>
        <v>11661.920733035413</v>
      </c>
      <c r="DC77" s="7">
        <f t="shared" si="151"/>
        <v>11017.078970851395</v>
      </c>
      <c r="DD77" s="7">
        <f t="shared" si="151"/>
        <v>11929.722103697588</v>
      </c>
      <c r="DE77" s="7">
        <f t="shared" si="151"/>
        <v>12301</v>
      </c>
      <c r="DF77" s="7">
        <f t="shared" si="151"/>
        <v>11954.117982146578</v>
      </c>
      <c r="DG77" s="7">
        <f t="shared" si="151"/>
        <v>12191.032093345204</v>
      </c>
      <c r="DH77" s="7">
        <f t="shared" si="151"/>
        <v>11881.290249504702</v>
      </c>
      <c r="DI77" s="7"/>
    </row>
    <row r="78" spans="6:147" x14ac:dyDescent="0.2">
      <c r="F78" t="str">
        <f t="shared" ref="F78:AD78" si="152">F58</f>
        <v>325</v>
      </c>
      <c r="G78">
        <f t="shared" si="152"/>
        <v>1982.3306729500532</v>
      </c>
      <c r="H78">
        <f t="shared" si="152"/>
        <v>2015.168144981348</v>
      </c>
      <c r="I78">
        <f t="shared" si="152"/>
        <v>2230.5058143667238</v>
      </c>
      <c r="J78">
        <f t="shared" si="152"/>
        <v>2425.2974275342949</v>
      </c>
      <c r="K78">
        <f t="shared" si="152"/>
        <v>2521.8421868716355</v>
      </c>
      <c r="L78">
        <f t="shared" si="152"/>
        <v>2717.7721792901602</v>
      </c>
      <c r="M78">
        <f t="shared" si="152"/>
        <v>2577.2858974832011</v>
      </c>
      <c r="N78">
        <f t="shared" si="152"/>
        <v>2624.9869434256652</v>
      </c>
      <c r="O78">
        <f t="shared" si="152"/>
        <v>2667.9116101083255</v>
      </c>
      <c r="P78">
        <f t="shared" si="152"/>
        <v>2729.1714558311169</v>
      </c>
      <c r="Q78">
        <f t="shared" si="152"/>
        <v>2808.3801069250053</v>
      </c>
      <c r="R78">
        <f t="shared" si="152"/>
        <v>3060.7601437574108</v>
      </c>
      <c r="S78">
        <f t="shared" si="152"/>
        <v>3103.9541409155927</v>
      </c>
      <c r="T78">
        <f t="shared" si="152"/>
        <v>3126.5770039999998</v>
      </c>
      <c r="U78">
        <f t="shared" si="152"/>
        <v>3311.1447124275678</v>
      </c>
      <c r="V78">
        <f t="shared" si="152"/>
        <v>3451.1731051817164</v>
      </c>
      <c r="W78">
        <f t="shared" si="152"/>
        <v>3269.7219092965011</v>
      </c>
      <c r="X78">
        <f t="shared" si="152"/>
        <v>3246.609152</v>
      </c>
      <c r="Y78">
        <f t="shared" si="152"/>
        <v>3278.8496369605023</v>
      </c>
      <c r="Z78">
        <f t="shared" si="152"/>
        <v>3050.2080438901307</v>
      </c>
      <c r="AA78">
        <f t="shared" si="152"/>
        <v>2799.0993758095683</v>
      </c>
      <c r="AB78">
        <f t="shared" si="152"/>
        <v>2677.7578599999997</v>
      </c>
      <c r="AC78">
        <f t="shared" si="152"/>
        <v>2824.531653445953</v>
      </c>
      <c r="AD78">
        <f t="shared" si="152"/>
        <v>2808.6503129524704</v>
      </c>
      <c r="AE78">
        <f t="shared" si="142"/>
        <v>2507.0190933838858</v>
      </c>
      <c r="AF78">
        <f t="shared" si="142"/>
        <v>2772</v>
      </c>
      <c r="AG78">
        <f t="shared" ref="AG78:AJ78" si="153">AG58</f>
        <v>2941.6767618815675</v>
      </c>
      <c r="AH78">
        <f t="shared" si="153"/>
        <v>3059.4548171952733</v>
      </c>
      <c r="AI78">
        <f t="shared" si="153"/>
        <v>3057.0989274103763</v>
      </c>
      <c r="AJ78">
        <f t="shared" si="153"/>
        <v>3069</v>
      </c>
      <c r="AK78">
        <f t="shared" ref="AK78:AM78" si="154">AK58</f>
        <v>3048.5593485076511</v>
      </c>
      <c r="AL78">
        <f t="shared" si="154"/>
        <v>2898.1657328715528</v>
      </c>
      <c r="AM78">
        <f t="shared" si="154"/>
        <v>2960.8493024765744</v>
      </c>
      <c r="BY78" s="101" t="s">
        <v>257</v>
      </c>
      <c r="BZ78" s="101"/>
      <c r="CA78" s="101"/>
      <c r="CB78" s="101"/>
    </row>
    <row r="79" spans="6:147" x14ac:dyDescent="0.2">
      <c r="BJ79" s="45" t="s">
        <v>156</v>
      </c>
      <c r="BK79" s="37"/>
      <c r="BL79" s="37"/>
      <c r="BM79" s="37"/>
      <c r="BN79" s="37"/>
      <c r="BO79" s="37"/>
      <c r="BP79" s="37"/>
      <c r="BQ79" s="37"/>
      <c r="BR79" s="37"/>
      <c r="CB79">
        <f>CB35</f>
        <v>1985</v>
      </c>
      <c r="CC79">
        <f t="shared" ref="CC79:CY79" si="155">CC35</f>
        <v>1986</v>
      </c>
      <c r="CD79">
        <f t="shared" si="155"/>
        <v>1987</v>
      </c>
      <c r="CE79">
        <f t="shared" si="155"/>
        <v>1988</v>
      </c>
      <c r="CF79">
        <f t="shared" si="155"/>
        <v>1989</v>
      </c>
      <c r="CG79">
        <f t="shared" si="155"/>
        <v>1990</v>
      </c>
      <c r="CH79">
        <f t="shared" si="155"/>
        <v>1991</v>
      </c>
      <c r="CI79">
        <f t="shared" si="155"/>
        <v>1992</v>
      </c>
      <c r="CJ79">
        <f t="shared" si="155"/>
        <v>1993</v>
      </c>
      <c r="CK79">
        <f t="shared" si="155"/>
        <v>1994</v>
      </c>
      <c r="CL79">
        <f t="shared" si="155"/>
        <v>1995</v>
      </c>
      <c r="CM79">
        <f t="shared" si="155"/>
        <v>1996</v>
      </c>
      <c r="CN79">
        <f t="shared" si="155"/>
        <v>1997</v>
      </c>
      <c r="CO79">
        <f t="shared" si="155"/>
        <v>1998</v>
      </c>
      <c r="CP79">
        <f t="shared" si="155"/>
        <v>1999</v>
      </c>
      <c r="CQ79">
        <f t="shared" si="155"/>
        <v>2000</v>
      </c>
      <c r="CR79">
        <f t="shared" si="155"/>
        <v>2001</v>
      </c>
      <c r="CS79">
        <f t="shared" si="155"/>
        <v>2002</v>
      </c>
      <c r="CT79">
        <f t="shared" si="155"/>
        <v>2003</v>
      </c>
      <c r="CU79">
        <f t="shared" si="155"/>
        <v>2004</v>
      </c>
      <c r="CV79">
        <f t="shared" si="155"/>
        <v>2005</v>
      </c>
      <c r="CW79">
        <f t="shared" si="155"/>
        <v>2006</v>
      </c>
      <c r="CX79">
        <f t="shared" si="155"/>
        <v>2007</v>
      </c>
      <c r="CY79">
        <f t="shared" si="155"/>
        <v>2008</v>
      </c>
      <c r="CZ79">
        <f>CZ35</f>
        <v>2009</v>
      </c>
      <c r="DA79">
        <f>DA35</f>
        <v>2010</v>
      </c>
      <c r="DB79">
        <v>2011</v>
      </c>
      <c r="DC79">
        <v>2012</v>
      </c>
      <c r="DD79">
        <v>2013</v>
      </c>
      <c r="DE79">
        <v>2014</v>
      </c>
      <c r="DF79">
        <v>2015</v>
      </c>
      <c r="DG79">
        <v>2016</v>
      </c>
      <c r="DH79">
        <v>2017</v>
      </c>
    </row>
    <row r="80" spans="6:147" x14ac:dyDescent="0.2">
      <c r="BK80" t="s">
        <v>144</v>
      </c>
      <c r="BL80" t="s">
        <v>145</v>
      </c>
      <c r="BM80" t="s">
        <v>146</v>
      </c>
      <c r="BN80" t="s">
        <v>142</v>
      </c>
      <c r="CA80" t="str">
        <f t="shared" ref="CA80:CA97" si="156">CA59</f>
        <v>311-312</v>
      </c>
      <c r="CB80" s="7">
        <f t="shared" ref="CB80:CD85" si="157">CB59</f>
        <v>814.40918409036976</v>
      </c>
      <c r="CC80" s="7">
        <f t="shared" si="157"/>
        <v>851.19749953824692</v>
      </c>
      <c r="CD80" s="7">
        <f t="shared" si="157"/>
        <v>833.51038838632076</v>
      </c>
      <c r="CE80" s="7">
        <f t="shared" ref="CE80:CY91" si="158">CE59</f>
        <v>851.12053122624513</v>
      </c>
      <c r="CF80" s="7">
        <f t="shared" si="158"/>
        <v>851.8988327684732</v>
      </c>
      <c r="CG80" s="7">
        <f t="shared" si="158"/>
        <v>801.85853040559095</v>
      </c>
      <c r="CH80" s="7">
        <f t="shared" si="158"/>
        <v>809.67414956814787</v>
      </c>
      <c r="CI80" s="7">
        <f t="shared" si="158"/>
        <v>863.70158393200757</v>
      </c>
      <c r="CJ80" s="7">
        <f t="shared" si="158"/>
        <v>926.75369383250984</v>
      </c>
      <c r="CK80" s="7">
        <f t="shared" si="158"/>
        <v>1008.5825527109854</v>
      </c>
      <c r="CL80" s="7">
        <f t="shared" si="158"/>
        <v>996.91523388203518</v>
      </c>
      <c r="CM80" s="7">
        <f t="shared" si="158"/>
        <v>865.22738818560777</v>
      </c>
      <c r="CN80" s="7">
        <f t="shared" si="158"/>
        <v>867.68525811561415</v>
      </c>
      <c r="CO80" s="7">
        <f t="shared" si="158"/>
        <v>914.596452</v>
      </c>
      <c r="CP80" s="7">
        <f t="shared" si="158"/>
        <v>935.17439841307237</v>
      </c>
      <c r="CQ80" s="7">
        <f t="shared" si="158"/>
        <v>890.52621269592521</v>
      </c>
      <c r="CR80" s="7">
        <f t="shared" si="158"/>
        <v>981.79189817683255</v>
      </c>
      <c r="CS80" s="7">
        <f t="shared" si="158"/>
        <v>963.55408</v>
      </c>
      <c r="CT80" s="7">
        <f t="shared" si="158"/>
        <v>908.1512310074819</v>
      </c>
      <c r="CU80" s="7">
        <f t="shared" si="158"/>
        <v>876.87404509058865</v>
      </c>
      <c r="CV80" s="7">
        <f t="shared" si="158"/>
        <v>881.92508034163961</v>
      </c>
      <c r="CW80" s="7">
        <f t="shared" si="158"/>
        <v>1014.1992240000001</v>
      </c>
      <c r="CX80" s="7">
        <f t="shared" si="158"/>
        <v>1017.3089008569175</v>
      </c>
      <c r="CY80" s="7">
        <f t="shared" si="158"/>
        <v>913.55290679421876</v>
      </c>
      <c r="CZ80" s="7">
        <f t="shared" ref="CZ80:DA85" si="159">CZ59</f>
        <v>1082.0437976266057</v>
      </c>
      <c r="DA80" s="7">
        <f t="shared" si="159"/>
        <v>958</v>
      </c>
      <c r="DB80" s="7">
        <f t="shared" ref="DB80:DE80" si="160">DB59</f>
        <v>962.5869918448409</v>
      </c>
      <c r="DC80" s="7">
        <f t="shared" si="160"/>
        <v>905.23015078882304</v>
      </c>
      <c r="DD80" s="7">
        <f t="shared" si="160"/>
        <v>938.49143969789179</v>
      </c>
      <c r="DE80" s="7">
        <f t="shared" si="160"/>
        <v>929</v>
      </c>
      <c r="DF80" s="7">
        <f t="shared" ref="DF80:DH80" si="161">DF59</f>
        <v>1030.630146776351</v>
      </c>
      <c r="DG80" s="7">
        <f t="shared" si="161"/>
        <v>1061.6998274548725</v>
      </c>
      <c r="DH80" s="7">
        <f t="shared" si="161"/>
        <v>971.69780095161491</v>
      </c>
      <c r="DI80" s="7"/>
    </row>
    <row r="81" spans="7:116" x14ac:dyDescent="0.2">
      <c r="BK81">
        <v>0.95</v>
      </c>
      <c r="BL81">
        <f>1-BK81</f>
        <v>5.0000000000000044E-2</v>
      </c>
      <c r="BZ81" s="52" t="s">
        <v>91</v>
      </c>
      <c r="CA81" t="str">
        <f t="shared" si="156"/>
        <v>313-314</v>
      </c>
      <c r="CB81" s="7">
        <f t="shared" si="157"/>
        <v>156.1414043262503</v>
      </c>
      <c r="CC81" s="7">
        <f t="shared" ref="CC81:CD81" si="162">CC60</f>
        <v>167.34431376858677</v>
      </c>
      <c r="CD81" s="7">
        <f t="shared" si="162"/>
        <v>172.60133796131427</v>
      </c>
      <c r="CE81" s="7">
        <f t="shared" ref="CE81:CQ81" si="163">CE60</f>
        <v>168.48905994885055</v>
      </c>
      <c r="CF81" s="7">
        <f t="shared" si="163"/>
        <v>167.44427557233792</v>
      </c>
      <c r="CG81" s="7">
        <f t="shared" si="163"/>
        <v>155.89053627343949</v>
      </c>
      <c r="CH81" s="7">
        <f t="shared" si="163"/>
        <v>167.22964134569051</v>
      </c>
      <c r="CI81" s="7">
        <f t="shared" si="163"/>
        <v>171.780636136151</v>
      </c>
      <c r="CJ81" s="7">
        <f t="shared" si="163"/>
        <v>179.66474753861871</v>
      </c>
      <c r="CK81" s="7">
        <f t="shared" si="163"/>
        <v>192.94392268146368</v>
      </c>
      <c r="CL81" s="7">
        <f t="shared" si="163"/>
        <v>190.8904946076554</v>
      </c>
      <c r="CM81" s="7">
        <f t="shared" si="163"/>
        <v>167.09700979934172</v>
      </c>
      <c r="CN81" s="7">
        <f t="shared" si="163"/>
        <v>170.57022786370626</v>
      </c>
      <c r="CO81" s="7">
        <f t="shared" si="163"/>
        <v>183.883668</v>
      </c>
      <c r="CP81" s="7">
        <f t="shared" si="163"/>
        <v>187.31181548387343</v>
      </c>
      <c r="CQ81" s="7">
        <f t="shared" si="163"/>
        <v>156.99410743381722</v>
      </c>
      <c r="CR81" s="7">
        <f t="shared" si="158"/>
        <v>156.54886822367064</v>
      </c>
      <c r="CS81" s="7">
        <f t="shared" si="158"/>
        <v>161.77534800000001</v>
      </c>
      <c r="CT81" s="7">
        <f t="shared" si="158"/>
        <v>144.82060676734446</v>
      </c>
      <c r="CU81" s="7">
        <f t="shared" si="158"/>
        <v>150.15509141889578</v>
      </c>
      <c r="CV81" s="7">
        <f t="shared" si="158"/>
        <v>157.5923565830285</v>
      </c>
      <c r="CW81" s="7">
        <f t="shared" si="158"/>
        <v>164.407712</v>
      </c>
      <c r="CX81" s="7">
        <f t="shared" si="158"/>
        <v>117.72476201119797</v>
      </c>
      <c r="CY81" s="7">
        <f t="shared" si="158"/>
        <v>100.10391940983209</v>
      </c>
      <c r="CZ81" s="7">
        <f t="shared" si="159"/>
        <v>92.386077520771678</v>
      </c>
      <c r="DA81" s="7">
        <f t="shared" si="159"/>
        <v>62</v>
      </c>
      <c r="DB81" s="7">
        <f t="shared" ref="DB81:DE81" si="164">DB60</f>
        <v>63.735355866562557</v>
      </c>
      <c r="DC81" s="7">
        <f t="shared" si="164"/>
        <v>65.232230776731996</v>
      </c>
      <c r="DD81" s="7">
        <f t="shared" si="164"/>
        <v>70.717952789685583</v>
      </c>
      <c r="DE81" s="7">
        <f t="shared" si="164"/>
        <v>72</v>
      </c>
      <c r="DF81" s="7">
        <f t="shared" ref="DF81:DH81" si="165">DF60</f>
        <v>74.509049446669465</v>
      </c>
      <c r="DG81" s="7">
        <f t="shared" si="165"/>
        <v>78.338211968875697</v>
      </c>
      <c r="DH81" s="7">
        <f t="shared" si="165"/>
        <v>58.42197502449914</v>
      </c>
      <c r="DI81" s="7"/>
    </row>
    <row r="82" spans="7:116" x14ac:dyDescent="0.2">
      <c r="BJ82">
        <f t="shared" ref="BJ82:BJ105" si="166">BJ36</f>
        <v>1985</v>
      </c>
      <c r="BK82">
        <f t="shared" ref="BK82:BL105" si="167">BK$81*BK36</f>
        <v>10835.112578060824</v>
      </c>
      <c r="BL82">
        <f t="shared" si="167"/>
        <v>570.26908305583333</v>
      </c>
      <c r="BM82">
        <f>SUM(BK82:BL82)</f>
        <v>11405.381661116657</v>
      </c>
      <c r="BN82">
        <f t="shared" ref="BN82:BN105" si="168">BM36</f>
        <v>17433.330000000002</v>
      </c>
      <c r="CA82" t="str">
        <f t="shared" si="156"/>
        <v>315-316</v>
      </c>
      <c r="CB82" s="7">
        <f t="shared" si="157"/>
        <v>27.870927218965459</v>
      </c>
      <c r="CC82" s="7">
        <f t="shared" ref="CC82:CD82" si="169">CC61</f>
        <v>38.210686463826796</v>
      </c>
      <c r="CD82" s="7">
        <f t="shared" si="169"/>
        <v>41.21594313846515</v>
      </c>
      <c r="CE82" s="7">
        <f t="shared" si="158"/>
        <v>46.203934666809843</v>
      </c>
      <c r="CF82" s="7">
        <f t="shared" si="158"/>
        <v>38.72494633334945</v>
      </c>
      <c r="CG82" s="7">
        <f t="shared" si="158"/>
        <v>34.234269572907131</v>
      </c>
      <c r="CH82" s="7">
        <f t="shared" si="158"/>
        <v>36.963147733447869</v>
      </c>
      <c r="CI82" s="7">
        <f t="shared" si="158"/>
        <v>37.95122991416855</v>
      </c>
      <c r="CJ82" s="7">
        <f t="shared" si="158"/>
        <v>38.969253979153493</v>
      </c>
      <c r="CK82" s="7">
        <f t="shared" si="158"/>
        <v>39.957336159874167</v>
      </c>
      <c r="CL82" s="7">
        <f t="shared" si="158"/>
        <v>44.512636188125661</v>
      </c>
      <c r="CM82" s="7">
        <f t="shared" si="158"/>
        <v>36.045490006918435</v>
      </c>
      <c r="CN82" s="7">
        <f t="shared" si="158"/>
        <v>34.309579022565551</v>
      </c>
      <c r="CO82" s="7">
        <f t="shared" si="158"/>
        <v>35.487055999999995</v>
      </c>
      <c r="CP82" s="7">
        <f t="shared" si="158"/>
        <v>34.727399494976886</v>
      </c>
      <c r="CQ82" s="7">
        <f t="shared" si="158"/>
        <v>27.828729813053091</v>
      </c>
      <c r="CR82" s="7">
        <f t="shared" si="158"/>
        <v>25.821803000550606</v>
      </c>
      <c r="CS82" s="7">
        <f t="shared" si="158"/>
        <v>22.314752000000002</v>
      </c>
      <c r="CT82" s="7">
        <f t="shared" si="158"/>
        <v>13.370253732879473</v>
      </c>
      <c r="CU82" s="7">
        <f t="shared" si="158"/>
        <v>12.950620915309582</v>
      </c>
      <c r="CV82" s="7">
        <f t="shared" si="158"/>
        <v>10.444249462603306</v>
      </c>
      <c r="CW82" s="7">
        <f t="shared" si="158"/>
        <v>8.7224880000000002</v>
      </c>
      <c r="CX82" s="7">
        <f t="shared" si="158"/>
        <v>5.5487247592447062</v>
      </c>
      <c r="CY82" s="7">
        <f t="shared" si="158"/>
        <v>2.9930445873252332</v>
      </c>
      <c r="CZ82" s="7">
        <f t="shared" si="159"/>
        <v>3.526210661636902</v>
      </c>
      <c r="DA82" s="7">
        <f t="shared" si="159"/>
        <v>3</v>
      </c>
      <c r="DB82" s="7">
        <f t="shared" ref="DB82:DE82" si="170">DB61</f>
        <v>3.4834106866991101</v>
      </c>
      <c r="DC82" s="7">
        <f t="shared" si="170"/>
        <v>2.8834010636912977</v>
      </c>
      <c r="DD82" s="7">
        <f t="shared" si="170"/>
        <v>2.9774098793298824</v>
      </c>
      <c r="DE82" s="7">
        <f t="shared" si="170"/>
        <v>3</v>
      </c>
      <c r="DF82" s="7">
        <f t="shared" ref="DF82:DH82" si="171">DF61</f>
        <v>4.4320835988412783</v>
      </c>
      <c r="DG82" s="7">
        <f t="shared" si="171"/>
        <v>4.9647133073011736</v>
      </c>
      <c r="DH82" s="7">
        <f t="shared" si="171"/>
        <v>4.2770219585491782</v>
      </c>
      <c r="DI82" s="7"/>
    </row>
    <row r="83" spans="7:116" x14ac:dyDescent="0.2">
      <c r="BJ83">
        <f t="shared" si="166"/>
        <v>1986</v>
      </c>
      <c r="BK83">
        <f t="shared" si="167"/>
        <v>11255.737361020534</v>
      </c>
      <c r="BL83">
        <f t="shared" si="167"/>
        <v>569.92006691696781</v>
      </c>
      <c r="BM83">
        <f t="shared" ref="BM83:BM105" si="172">SUM(BK83:BL83)</f>
        <v>11825.657427937502</v>
      </c>
      <c r="BN83">
        <f t="shared" si="168"/>
        <v>17081.349999999999</v>
      </c>
      <c r="CA83" t="str">
        <f t="shared" si="156"/>
        <v>321</v>
      </c>
      <c r="CB83" s="7">
        <f t="shared" si="157"/>
        <v>248.79987339144392</v>
      </c>
      <c r="CC83" s="7">
        <f t="shared" ref="CC83:CD83" si="173">CC62</f>
        <v>255.75096288820842</v>
      </c>
      <c r="CD83" s="7">
        <f t="shared" si="173"/>
        <v>293.32052036990052</v>
      </c>
      <c r="CE83" s="7">
        <f t="shared" si="158"/>
        <v>302.60197307912358</v>
      </c>
      <c r="CF83" s="7">
        <f t="shared" si="158"/>
        <v>314.98874210000514</v>
      </c>
      <c r="CG83" s="7">
        <f t="shared" si="158"/>
        <v>317.55370658139748</v>
      </c>
      <c r="CH83" s="7">
        <f t="shared" si="158"/>
        <v>314.83245355703338</v>
      </c>
      <c r="CI83" s="7">
        <f t="shared" si="158"/>
        <v>285.65263466533662</v>
      </c>
      <c r="CJ83" s="7">
        <f t="shared" si="158"/>
        <v>308.99770621726981</v>
      </c>
      <c r="CK83" s="7">
        <f t="shared" si="158"/>
        <v>319.45866435321039</v>
      </c>
      <c r="CL83" s="7">
        <f t="shared" si="158"/>
        <v>373.11340884966961</v>
      </c>
      <c r="CM83" s="7">
        <f t="shared" si="158"/>
        <v>354.43765969546752</v>
      </c>
      <c r="CN83" s="7">
        <f t="shared" si="158"/>
        <v>351.22789070081427</v>
      </c>
      <c r="CO83" s="7">
        <f t="shared" si="158"/>
        <v>431.76796000000002</v>
      </c>
      <c r="CP83" s="7">
        <f t="shared" si="158"/>
        <v>456.65878470026882</v>
      </c>
      <c r="CQ83" s="7">
        <f t="shared" si="158"/>
        <v>395.38550253374592</v>
      </c>
      <c r="CR83" s="7">
        <f t="shared" si="158"/>
        <v>334.95065632387758</v>
      </c>
      <c r="CS83" s="7">
        <f t="shared" si="158"/>
        <v>303.39918</v>
      </c>
      <c r="CT83" s="7">
        <f t="shared" si="158"/>
        <v>315.36572210850733</v>
      </c>
      <c r="CU83" s="7">
        <f t="shared" si="158"/>
        <v>334.05313526607807</v>
      </c>
      <c r="CV83" s="7">
        <f t="shared" si="158"/>
        <v>328.05195783490865</v>
      </c>
      <c r="CW83" s="7">
        <f t="shared" si="158"/>
        <v>353.821124</v>
      </c>
      <c r="CX83" s="7">
        <f t="shared" si="158"/>
        <v>384.72650075395597</v>
      </c>
      <c r="CY83" s="7">
        <f t="shared" si="158"/>
        <v>340.75137141804316</v>
      </c>
      <c r="CZ83" s="7">
        <f t="shared" si="159"/>
        <v>349.87643313649335</v>
      </c>
      <c r="DA83" s="7">
        <f t="shared" si="159"/>
        <v>418</v>
      </c>
      <c r="DB83" s="7">
        <f t="shared" ref="DB83:DE83" si="174">DB62</f>
        <v>344.71258871576003</v>
      </c>
      <c r="DC83" s="7">
        <f t="shared" si="174"/>
        <v>268.15711778672494</v>
      </c>
      <c r="DD83" s="7">
        <f t="shared" si="174"/>
        <v>299.38234805307519</v>
      </c>
      <c r="DE83" s="7">
        <f t="shared" si="174"/>
        <v>311</v>
      </c>
      <c r="DF83" s="7">
        <f t="shared" ref="DF83:DH83" si="175">DF62</f>
        <v>386.26514793818404</v>
      </c>
      <c r="DG83" s="7">
        <f t="shared" si="175"/>
        <v>429.30426619607431</v>
      </c>
      <c r="DH83" s="7">
        <f t="shared" si="175"/>
        <v>458.23367249135623</v>
      </c>
      <c r="DI83" s="7"/>
    </row>
    <row r="84" spans="7:116" x14ac:dyDescent="0.2">
      <c r="BJ84">
        <f t="shared" si="166"/>
        <v>1987</v>
      </c>
      <c r="BK84">
        <f t="shared" si="167"/>
        <v>11632.243675586853</v>
      </c>
      <c r="BL84">
        <f t="shared" si="167"/>
        <v>591.24518511259396</v>
      </c>
      <c r="BM84">
        <f t="shared" si="172"/>
        <v>12223.488860699446</v>
      </c>
      <c r="BN84">
        <f t="shared" si="168"/>
        <v>17959.455000000002</v>
      </c>
      <c r="CA84" t="str">
        <f t="shared" si="156"/>
        <v>322</v>
      </c>
      <c r="CB84" s="7">
        <f t="shared" si="157"/>
        <v>2017.3632372266716</v>
      </c>
      <c r="CC84" s="7">
        <f t="shared" ref="CC84:CD84" si="176">CC63</f>
        <v>1985.8799822003309</v>
      </c>
      <c r="CD84" s="7">
        <f t="shared" si="176"/>
        <v>2039.394142819116</v>
      </c>
      <c r="CE84" s="7">
        <f t="shared" si="158"/>
        <v>2153.9562641132611</v>
      </c>
      <c r="CF84" s="7">
        <f t="shared" si="158"/>
        <v>2186.1253063093668</v>
      </c>
      <c r="CG84" s="7">
        <f t="shared" si="158"/>
        <v>2232.4561523667417</v>
      </c>
      <c r="CH84" s="7">
        <f t="shared" si="158"/>
        <v>2267.2367478194155</v>
      </c>
      <c r="CI84" s="7">
        <f t="shared" si="158"/>
        <v>2376.8968151839495</v>
      </c>
      <c r="CJ84" s="7">
        <f t="shared" si="158"/>
        <v>2413.860058955303</v>
      </c>
      <c r="CK84" s="7">
        <f t="shared" si="158"/>
        <v>2406.5414497255788</v>
      </c>
      <c r="CL84" s="7">
        <f t="shared" si="158"/>
        <v>2475.1031059942475</v>
      </c>
      <c r="CM84" s="7">
        <f t="shared" si="158"/>
        <v>2445.7058531055864</v>
      </c>
      <c r="CN84" s="7">
        <f t="shared" si="158"/>
        <v>2444.4671078929837</v>
      </c>
      <c r="CO84" s="7">
        <f t="shared" si="158"/>
        <v>2503.918032</v>
      </c>
      <c r="CP84" s="7">
        <f t="shared" si="158"/>
        <v>2465.1884562264563</v>
      </c>
      <c r="CQ84" s="7">
        <f t="shared" si="158"/>
        <v>2357.2657029108259</v>
      </c>
      <c r="CR84" s="7">
        <f t="shared" si="158"/>
        <v>2298.5199852617166</v>
      </c>
      <c r="CS84" s="7">
        <f t="shared" si="158"/>
        <v>2137.503764</v>
      </c>
      <c r="CT84" s="7">
        <f t="shared" si="158"/>
        <v>2062.2055493557114</v>
      </c>
      <c r="CU84" s="7">
        <f t="shared" si="158"/>
        <v>2028.3709641295484</v>
      </c>
      <c r="CV84" s="7">
        <f t="shared" si="158"/>
        <v>2041.520676975912</v>
      </c>
      <c r="CW84" s="7">
        <f t="shared" si="158"/>
        <v>2106.5685840000001</v>
      </c>
      <c r="CX84" s="7">
        <f t="shared" si="158"/>
        <v>2090.1212360058084</v>
      </c>
      <c r="CY84" s="7">
        <f t="shared" si="158"/>
        <v>1905.2774059551602</v>
      </c>
      <c r="CZ84" s="7">
        <f t="shared" si="159"/>
        <v>1774.044580052572</v>
      </c>
      <c r="DA84" s="7">
        <f t="shared" si="159"/>
        <v>1904</v>
      </c>
      <c r="DB84" s="7">
        <f t="shared" ref="DB84:DE84" si="177">DB63</f>
        <v>1722.0786392639382</v>
      </c>
      <c r="DC84" s="7">
        <f t="shared" si="177"/>
        <v>1678.8466954510259</v>
      </c>
      <c r="DD84" s="7">
        <f t="shared" si="177"/>
        <v>1810.8084829965851</v>
      </c>
      <c r="DE84" s="7">
        <f t="shared" si="177"/>
        <v>1899</v>
      </c>
      <c r="DF84" s="7">
        <f t="shared" ref="DF84:DH84" si="178">DF63</f>
        <v>1916.5339866445674</v>
      </c>
      <c r="DG84" s="7">
        <f t="shared" si="178"/>
        <v>1920.6028756718433</v>
      </c>
      <c r="DH84" s="7">
        <f t="shared" si="178"/>
        <v>1793.6389598515498</v>
      </c>
      <c r="DI84" s="7"/>
    </row>
    <row r="85" spans="7:116" x14ac:dyDescent="0.2">
      <c r="BJ85">
        <f t="shared" si="166"/>
        <v>1988</v>
      </c>
      <c r="BK85">
        <f t="shared" si="167"/>
        <v>12390.009709821832</v>
      </c>
      <c r="BL85">
        <f t="shared" si="167"/>
        <v>652.10577420114964</v>
      </c>
      <c r="BM85">
        <f t="shared" si="172"/>
        <v>13042.115484022981</v>
      </c>
      <c r="BN85">
        <f t="shared" si="168"/>
        <v>18789.442999999999</v>
      </c>
      <c r="CA85" t="str">
        <f t="shared" si="156"/>
        <v>323</v>
      </c>
      <c r="CB85" s="7">
        <f t="shared" si="157"/>
        <v>26.699079874753146</v>
      </c>
      <c r="CC85" s="7">
        <f t="shared" ref="CC85:CD85" si="179">CC64</f>
        <v>31.398684042991388</v>
      </c>
      <c r="CD85" s="7">
        <f t="shared" si="179"/>
        <v>35.457031000499867</v>
      </c>
      <c r="CE85" s="7">
        <f t="shared" si="158"/>
        <v>40.089746346787351</v>
      </c>
      <c r="CF85" s="7">
        <f t="shared" si="158"/>
        <v>41.243633713675202</v>
      </c>
      <c r="CG85" s="7">
        <f t="shared" si="158"/>
        <v>40.250360783695889</v>
      </c>
      <c r="CH85" s="7">
        <f t="shared" si="158"/>
        <v>38.576483481067747</v>
      </c>
      <c r="CI85" s="7">
        <f t="shared" si="158"/>
        <v>38.178392597320688</v>
      </c>
      <c r="CJ85" s="7">
        <f t="shared" si="158"/>
        <v>35.271440939704874</v>
      </c>
      <c r="CK85" s="7">
        <f t="shared" si="158"/>
        <v>37.113573244007682</v>
      </c>
      <c r="CL85" s="7">
        <f t="shared" si="158"/>
        <v>43.188518122581051</v>
      </c>
      <c r="CM85" s="7">
        <f t="shared" si="158"/>
        <v>40.33110661016218</v>
      </c>
      <c r="CN85" s="7">
        <f t="shared" si="158"/>
        <v>40.608372244311404</v>
      </c>
      <c r="CO85" s="7">
        <f t="shared" si="158"/>
        <v>47.004247999999997</v>
      </c>
      <c r="CP85" s="7">
        <f t="shared" si="158"/>
        <v>52.164830887173935</v>
      </c>
      <c r="CQ85" s="7">
        <f t="shared" si="158"/>
        <v>43.975163094048298</v>
      </c>
      <c r="CR85" s="7">
        <f t="shared" si="158"/>
        <v>43.927533603441304</v>
      </c>
      <c r="CS85" s="7">
        <f t="shared" si="158"/>
        <v>47.795832000000004</v>
      </c>
      <c r="CT85" s="7">
        <f t="shared" si="158"/>
        <v>39.692067517161526</v>
      </c>
      <c r="CU85" s="7">
        <f t="shared" si="158"/>
        <v>39.966826921984563</v>
      </c>
      <c r="CV85" s="7">
        <f t="shared" si="158"/>
        <v>36.753303021623331</v>
      </c>
      <c r="CW85" s="7">
        <f t="shared" si="158"/>
        <v>40.374451999999998</v>
      </c>
      <c r="CX85" s="7">
        <f t="shared" si="158"/>
        <v>40.901224952433246</v>
      </c>
      <c r="CY85" s="7">
        <f t="shared" si="158"/>
        <v>32.461027328280444</v>
      </c>
      <c r="CZ85" s="7">
        <f t="shared" si="159"/>
        <v>42.881660809701962</v>
      </c>
      <c r="DA85" s="7">
        <f t="shared" si="159"/>
        <v>36</v>
      </c>
      <c r="DB85" s="7">
        <f t="shared" ref="DB85:DE85" si="180">DB64</f>
        <v>39.681746342190024</v>
      </c>
      <c r="DC85" s="7">
        <f t="shared" si="180"/>
        <v>40.886951644453283</v>
      </c>
      <c r="DD85" s="7">
        <f t="shared" si="180"/>
        <v>41.131101202521521</v>
      </c>
      <c r="DE85" s="7">
        <f t="shared" si="180"/>
        <v>40</v>
      </c>
      <c r="DF85" s="7">
        <f t="shared" ref="DF85:DH85" si="181">DF64</f>
        <v>41.772916701739263</v>
      </c>
      <c r="DG85" s="7">
        <f t="shared" si="181"/>
        <v>48.826228708148577</v>
      </c>
      <c r="DH85" s="7">
        <f t="shared" si="181"/>
        <v>59.497184411456416</v>
      </c>
      <c r="DI85" s="7"/>
    </row>
    <row r="86" spans="7:116" x14ac:dyDescent="0.2">
      <c r="BJ86">
        <f t="shared" si="166"/>
        <v>1989</v>
      </c>
      <c r="BK86">
        <f t="shared" si="167"/>
        <v>12291.777335081899</v>
      </c>
      <c r="BL86">
        <f t="shared" si="167"/>
        <v>651.58320792008954</v>
      </c>
      <c r="BM86">
        <f t="shared" si="172"/>
        <v>12943.360543001989</v>
      </c>
      <c r="BN86">
        <f t="shared" si="168"/>
        <v>18964.764999999999</v>
      </c>
      <c r="BZ86" s="43" t="s">
        <v>143</v>
      </c>
      <c r="CA86" s="43" t="str">
        <f t="shared" si="156"/>
        <v>324</v>
      </c>
      <c r="CB86" s="48">
        <f>CB42</f>
        <v>2519.6333802647096</v>
      </c>
      <c r="CC86" s="74">
        <f t="shared" ref="CC86:CD87" si="182">CC42</f>
        <v>2850.2471338482869</v>
      </c>
      <c r="CD86" s="74">
        <f t="shared" si="182"/>
        <v>2753.6476622858058</v>
      </c>
      <c r="CE86" s="48">
        <f t="shared" ref="CE86:CY86" si="183">CE42</f>
        <v>3018.3157833208888</v>
      </c>
      <c r="CF86" s="48">
        <f t="shared" si="183"/>
        <v>2965.3762841158969</v>
      </c>
      <c r="CG86" s="48">
        <f t="shared" si="183"/>
        <v>2981.7236021574176</v>
      </c>
      <c r="CH86" s="48">
        <f t="shared" si="183"/>
        <v>2884.3712617836486</v>
      </c>
      <c r="CI86" s="48">
        <f t="shared" si="183"/>
        <v>2978.6197025599158</v>
      </c>
      <c r="CJ86" s="48">
        <f t="shared" si="183"/>
        <v>2970.8276442091383</v>
      </c>
      <c r="CK86" s="48">
        <f t="shared" si="183"/>
        <v>3144.6947232151383</v>
      </c>
      <c r="CL86" s="48">
        <f t="shared" si="183"/>
        <v>3318.3953852069985</v>
      </c>
      <c r="CM86" s="48">
        <f t="shared" si="183"/>
        <v>3430.9762747528257</v>
      </c>
      <c r="CN86" s="48">
        <f t="shared" si="183"/>
        <v>3465.1910244853348</v>
      </c>
      <c r="CO86" s="48">
        <f t="shared" si="183"/>
        <v>3495.5546920000002</v>
      </c>
      <c r="CP86" s="48">
        <f t="shared" si="183"/>
        <v>3559.9686790500004</v>
      </c>
      <c r="CQ86" s="48">
        <f t="shared" si="183"/>
        <v>3613.8718330000002</v>
      </c>
      <c r="CR86" s="48">
        <f t="shared" si="183"/>
        <v>3494.7027549010036</v>
      </c>
      <c r="CS86" s="48">
        <f t="shared" si="183"/>
        <v>3075.1213680000001</v>
      </c>
      <c r="CT86" s="48">
        <f t="shared" si="183"/>
        <v>2986.514133005855</v>
      </c>
      <c r="CU86" s="48">
        <f t="shared" si="183"/>
        <v>3077.7580838021422</v>
      </c>
      <c r="CV86" s="48">
        <f t="shared" si="183"/>
        <v>3370.7901598183917</v>
      </c>
      <c r="CW86" s="48">
        <f t="shared" si="183"/>
        <v>3259.0627920000002</v>
      </c>
      <c r="CX86" s="48">
        <f t="shared" si="183"/>
        <v>3233.695904757873</v>
      </c>
      <c r="CY86" s="48">
        <f t="shared" si="183"/>
        <v>3327.9701282444062</v>
      </c>
      <c r="CZ86" s="48">
        <f t="shared" ref="CZ86:DA87" si="184">CZ42</f>
        <v>3130.9523370717566</v>
      </c>
      <c r="DA86" s="48">
        <f t="shared" si="184"/>
        <v>3159</v>
      </c>
      <c r="DB86" s="105">
        <f>DB65</f>
        <v>3119.7773525461766</v>
      </c>
      <c r="DC86" s="105">
        <f t="shared" ref="DC86:DE87" si="185">DC65</f>
        <v>2948.0452954146526</v>
      </c>
      <c r="DD86" s="105">
        <f t="shared" si="185"/>
        <v>3141.97711054922</v>
      </c>
      <c r="DE86" s="105">
        <f t="shared" si="185"/>
        <v>3346</v>
      </c>
      <c r="DF86" s="105">
        <f t="shared" ref="DF86:DH86" si="186">DF65</f>
        <v>2662.5075454970774</v>
      </c>
      <c r="DG86" s="105">
        <f t="shared" si="186"/>
        <v>2393.0286293869767</v>
      </c>
      <c r="DH86" s="105">
        <f t="shared" si="186"/>
        <v>2653.5491863240372</v>
      </c>
      <c r="DJ86" s="106" t="s">
        <v>360</v>
      </c>
      <c r="DK86" s="105"/>
      <c r="DL86" s="56"/>
    </row>
    <row r="87" spans="7:116" x14ac:dyDescent="0.2">
      <c r="BJ87">
        <f t="shared" si="166"/>
        <v>1990</v>
      </c>
      <c r="BK87">
        <f t="shared" si="167"/>
        <v>12470.881439419178</v>
      </c>
      <c r="BL87">
        <f t="shared" si="167"/>
        <v>652.29158198098685</v>
      </c>
      <c r="BM87">
        <f t="shared" si="172"/>
        <v>13123.173021400165</v>
      </c>
      <c r="BN87">
        <f t="shared" si="168"/>
        <v>19402.468000000001</v>
      </c>
      <c r="BZ87" s="43"/>
      <c r="CA87" s="43" t="str">
        <f t="shared" si="156"/>
        <v>325</v>
      </c>
      <c r="CB87" s="48">
        <f>CB43</f>
        <v>1982.3306729500532</v>
      </c>
      <c r="CC87" s="74">
        <f t="shared" si="182"/>
        <v>2015.168144981348</v>
      </c>
      <c r="CD87" s="74">
        <f t="shared" si="182"/>
        <v>2230.5058143667238</v>
      </c>
      <c r="CE87" s="48">
        <f t="shared" ref="CE87:CY87" si="187">CE43</f>
        <v>2425.2974275342949</v>
      </c>
      <c r="CF87" s="48">
        <f t="shared" si="187"/>
        <v>2521.8421868716355</v>
      </c>
      <c r="CG87" s="48">
        <f t="shared" si="187"/>
        <v>2717.7721792901602</v>
      </c>
      <c r="CH87" s="48">
        <f t="shared" si="187"/>
        <v>2577.2858974832011</v>
      </c>
      <c r="CI87" s="48">
        <f t="shared" si="187"/>
        <v>2624.9869434256652</v>
      </c>
      <c r="CJ87" s="48">
        <f t="shared" si="187"/>
        <v>2667.9116101083255</v>
      </c>
      <c r="CK87" s="48">
        <f t="shared" si="187"/>
        <v>2729.1714558311169</v>
      </c>
      <c r="CL87" s="48">
        <f t="shared" si="187"/>
        <v>2808.3801069250053</v>
      </c>
      <c r="CM87" s="48">
        <f t="shared" si="187"/>
        <v>3060.7601437574108</v>
      </c>
      <c r="CN87" s="48">
        <f t="shared" si="187"/>
        <v>3103.9541409155927</v>
      </c>
      <c r="CO87" s="48">
        <f t="shared" si="187"/>
        <v>3126.5770039999998</v>
      </c>
      <c r="CP87" s="48">
        <f t="shared" si="187"/>
        <v>3311.1447124275678</v>
      </c>
      <c r="CQ87" s="48">
        <f t="shared" si="187"/>
        <v>3451.1731051817164</v>
      </c>
      <c r="CR87" s="48">
        <f t="shared" si="187"/>
        <v>3269.7219092965011</v>
      </c>
      <c r="CS87" s="48">
        <f t="shared" si="187"/>
        <v>3246.609152</v>
      </c>
      <c r="CT87" s="48">
        <f t="shared" si="187"/>
        <v>3278.8496369605023</v>
      </c>
      <c r="CU87" s="48">
        <f t="shared" si="187"/>
        <v>3050.2080438901307</v>
      </c>
      <c r="CV87" s="48">
        <f t="shared" si="187"/>
        <v>2799.0993758095683</v>
      </c>
      <c r="CW87" s="48">
        <f t="shared" si="187"/>
        <v>2677.7578599999997</v>
      </c>
      <c r="CX87" s="48">
        <f t="shared" si="187"/>
        <v>2824.531653445953</v>
      </c>
      <c r="CY87" s="48">
        <f t="shared" si="187"/>
        <v>2808.6503129524704</v>
      </c>
      <c r="CZ87" s="48">
        <f t="shared" si="184"/>
        <v>2507.0190933838858</v>
      </c>
      <c r="DA87" s="48">
        <f t="shared" si="184"/>
        <v>2772</v>
      </c>
      <c r="DB87" s="105">
        <f>DB66</f>
        <v>2865.8842342198377</v>
      </c>
      <c r="DC87" s="105">
        <f t="shared" si="185"/>
        <v>2721.4162617878787</v>
      </c>
      <c r="DD87" s="105">
        <f t="shared" si="185"/>
        <v>3072.8614151678034</v>
      </c>
      <c r="DE87" s="105">
        <f t="shared" si="185"/>
        <v>3069</v>
      </c>
      <c r="DF87" s="105">
        <f t="shared" ref="DF87:DH87" si="188">DF66</f>
        <v>3261.3093142911703</v>
      </c>
      <c r="DG87" s="105">
        <f t="shared" si="188"/>
        <v>3611.5291991229756</v>
      </c>
      <c r="DH87" s="105">
        <f t="shared" si="188"/>
        <v>3286.1766212997227</v>
      </c>
      <c r="DJ87" s="48"/>
      <c r="DK87" s="48"/>
    </row>
    <row r="88" spans="7:116" x14ac:dyDescent="0.2">
      <c r="BJ88">
        <f t="shared" si="166"/>
        <v>1991</v>
      </c>
      <c r="BK88">
        <f t="shared" si="167"/>
        <v>11969.570950990845</v>
      </c>
      <c r="BL88">
        <f t="shared" si="167"/>
        <v>629.97741847320299</v>
      </c>
      <c r="BM88">
        <f t="shared" si="172"/>
        <v>12599.548369464048</v>
      </c>
      <c r="BN88">
        <f t="shared" si="168"/>
        <v>19083.083999999999</v>
      </c>
      <c r="CA88" t="str">
        <f t="shared" si="156"/>
        <v>326</v>
      </c>
      <c r="CB88" s="7">
        <f t="shared" ref="CB88:CD97" si="189">CB67</f>
        <v>128.43055874180072</v>
      </c>
      <c r="CC88" s="7">
        <f t="shared" si="189"/>
        <v>135.02187702867309</v>
      </c>
      <c r="CD88" s="7">
        <f t="shared" si="189"/>
        <v>151.42293972634729</v>
      </c>
      <c r="CE88" s="7">
        <f t="shared" si="158"/>
        <v>150.36582650079393</v>
      </c>
      <c r="CF88" s="7">
        <f t="shared" si="158"/>
        <v>156.13332627095838</v>
      </c>
      <c r="CG88" s="7">
        <f t="shared" si="158"/>
        <v>135.02276624658089</v>
      </c>
      <c r="CH88" s="7">
        <f t="shared" si="158"/>
        <v>125.61488437265322</v>
      </c>
      <c r="CI88" s="7">
        <f t="shared" si="158"/>
        <v>132.95089229393827</v>
      </c>
      <c r="CJ88" s="7">
        <f t="shared" si="158"/>
        <v>136.77256011490636</v>
      </c>
      <c r="CK88" s="7">
        <f t="shared" si="158"/>
        <v>141.58522460569185</v>
      </c>
      <c r="CL88" s="7">
        <f t="shared" si="158"/>
        <v>151.80278514264387</v>
      </c>
      <c r="CM88" s="7">
        <f t="shared" si="158"/>
        <v>145.59186602176126</v>
      </c>
      <c r="CN88" s="7">
        <f t="shared" si="158"/>
        <v>135.30020215581013</v>
      </c>
      <c r="CO88" s="7">
        <f t="shared" si="158"/>
        <v>144.39999600000002</v>
      </c>
      <c r="CP88" s="7">
        <f t="shared" si="158"/>
        <v>163.77373974259751</v>
      </c>
      <c r="CQ88" s="7">
        <f t="shared" si="158"/>
        <v>170.55457311273068</v>
      </c>
      <c r="CR88" s="7">
        <f t="shared" si="158"/>
        <v>170.96821812825092</v>
      </c>
      <c r="CS88" s="7">
        <f t="shared" si="158"/>
        <v>166.54642800000002</v>
      </c>
      <c r="CT88" s="7">
        <f t="shared" si="158"/>
        <v>162.38700858836174</v>
      </c>
      <c r="CU88" s="7">
        <f t="shared" si="158"/>
        <v>156.34521408513098</v>
      </c>
      <c r="CV88" s="7">
        <f t="shared" si="158"/>
        <v>150.24560489044413</v>
      </c>
      <c r="CW88" s="7">
        <f t="shared" si="158"/>
        <v>153.785552</v>
      </c>
      <c r="CX88" s="7">
        <f t="shared" si="158"/>
        <v>143.10994103075981</v>
      </c>
      <c r="CY88" s="7">
        <f t="shared" si="158"/>
        <v>118.89421130373546</v>
      </c>
      <c r="CZ88" s="7">
        <f t="shared" ref="CZ88:DA97" si="190">CZ67</f>
        <v>111.58171088640285</v>
      </c>
      <c r="DA88" s="7">
        <f t="shared" si="190"/>
        <v>116</v>
      </c>
      <c r="DB88" s="7">
        <f t="shared" ref="DB88:DE88" si="191">DB67</f>
        <v>114.33836166733738</v>
      </c>
      <c r="DC88" s="7">
        <f t="shared" si="191"/>
        <v>109.54490865472242</v>
      </c>
      <c r="DD88" s="7">
        <f t="shared" si="191"/>
        <v>111.07562545949031</v>
      </c>
      <c r="DE88" s="7">
        <f t="shared" si="191"/>
        <v>104</v>
      </c>
      <c r="DF88" s="7">
        <f t="shared" ref="DF88:DH88" si="192">DF67</f>
        <v>118.14538873303597</v>
      </c>
      <c r="DG88" s="7">
        <f t="shared" si="192"/>
        <v>134.51930028316804</v>
      </c>
      <c r="DH88" s="7">
        <f t="shared" si="192"/>
        <v>157.39604481768811</v>
      </c>
      <c r="DI88" s="7"/>
    </row>
    <row r="89" spans="7:116" x14ac:dyDescent="0.2">
      <c r="BJ89">
        <f t="shared" si="166"/>
        <v>1992</v>
      </c>
      <c r="BK89">
        <f t="shared" si="167"/>
        <v>12361.422156513139</v>
      </c>
      <c r="BL89">
        <f t="shared" si="167"/>
        <v>644.85327413852588</v>
      </c>
      <c r="BM89">
        <f t="shared" si="172"/>
        <v>13006.275430651665</v>
      </c>
      <c r="BN89">
        <f t="shared" si="168"/>
        <v>19961.138999999999</v>
      </c>
      <c r="CA89" t="str">
        <f t="shared" si="156"/>
        <v>327</v>
      </c>
      <c r="CB89" s="7">
        <f t="shared" si="189"/>
        <v>791.01545520082436</v>
      </c>
      <c r="CC89" s="7">
        <f t="shared" si="189"/>
        <v>833.84549437982139</v>
      </c>
      <c r="CD89" s="7">
        <f t="shared" si="189"/>
        <v>865.36110422201477</v>
      </c>
      <c r="CE89" s="7">
        <f t="shared" si="158"/>
        <v>884.64406029384702</v>
      </c>
      <c r="CF89" s="7">
        <f t="shared" si="158"/>
        <v>872.26871686531888</v>
      </c>
      <c r="CG89" s="7">
        <f t="shared" si="158"/>
        <v>839.79715936733282</v>
      </c>
      <c r="CH89" s="7">
        <f t="shared" si="158"/>
        <v>788.81428212035598</v>
      </c>
      <c r="CI89" s="7">
        <f t="shared" si="158"/>
        <v>834.39754001449057</v>
      </c>
      <c r="CJ89" s="7">
        <f t="shared" si="158"/>
        <v>866.94246720947717</v>
      </c>
      <c r="CK89" s="7">
        <f t="shared" si="158"/>
        <v>822.05619657793363</v>
      </c>
      <c r="CL89" s="7">
        <f t="shared" si="158"/>
        <v>836.37810053118699</v>
      </c>
      <c r="CM89" s="7">
        <f t="shared" si="158"/>
        <v>768.59394669215737</v>
      </c>
      <c r="CN89" s="7">
        <f t="shared" si="158"/>
        <v>781.48054541412921</v>
      </c>
      <c r="CO89" s="7">
        <f t="shared" si="158"/>
        <v>834.98687599999994</v>
      </c>
      <c r="CP89" s="7">
        <f t="shared" si="158"/>
        <v>887.75742962271181</v>
      </c>
      <c r="CQ89" s="7">
        <f t="shared" si="158"/>
        <v>860.3030388807673</v>
      </c>
      <c r="CR89" s="7">
        <f t="shared" si="158"/>
        <v>844.57954689595817</v>
      </c>
      <c r="CS89" s="7">
        <f t="shared" si="158"/>
        <v>910.76708400000007</v>
      </c>
      <c r="CT89" s="7">
        <f t="shared" si="158"/>
        <v>843.66258808021871</v>
      </c>
      <c r="CU89" s="7">
        <f t="shared" si="158"/>
        <v>846.35668023327139</v>
      </c>
      <c r="CV89" s="7">
        <f t="shared" si="158"/>
        <v>887.23108283057456</v>
      </c>
      <c r="CW89" s="7">
        <f t="shared" si="158"/>
        <v>958.36588800000004</v>
      </c>
      <c r="CX89" s="7">
        <f t="shared" si="158"/>
        <v>888.6890971564701</v>
      </c>
      <c r="CY89" s="7">
        <f t="shared" si="158"/>
        <v>744.58615673498946</v>
      </c>
      <c r="CZ89" s="7">
        <f t="shared" si="190"/>
        <v>646.20773136287312</v>
      </c>
      <c r="DA89" s="7">
        <f t="shared" si="190"/>
        <v>600</v>
      </c>
      <c r="DB89" s="7">
        <f t="shared" ref="DB89:DE89" si="193">DB68</f>
        <v>611.9249777848737</v>
      </c>
      <c r="DC89" s="7">
        <f t="shared" si="193"/>
        <v>624.0796384681654</v>
      </c>
      <c r="DD89" s="7">
        <f t="shared" si="193"/>
        <v>679.69946888069933</v>
      </c>
      <c r="DE89" s="7">
        <f t="shared" si="193"/>
        <v>699</v>
      </c>
      <c r="DF89" s="7">
        <f t="shared" ref="DF89:DH89" si="194">DF68</f>
        <v>721.54524566856969</v>
      </c>
      <c r="DG89" s="7">
        <f t="shared" si="194"/>
        <v>777.91367304417702</v>
      </c>
      <c r="DH89" s="7">
        <f t="shared" si="194"/>
        <v>714.07677883262534</v>
      </c>
      <c r="DI89" s="7"/>
    </row>
    <row r="90" spans="7:116" x14ac:dyDescent="0.2">
      <c r="BJ90">
        <f t="shared" si="166"/>
        <v>1993</v>
      </c>
      <c r="BK90">
        <f t="shared" si="167"/>
        <v>12734.297332930726</v>
      </c>
      <c r="BL90">
        <f t="shared" si="167"/>
        <v>690.25418019808581</v>
      </c>
      <c r="BM90">
        <f t="shared" si="172"/>
        <v>13424.551513128812</v>
      </c>
      <c r="BN90">
        <f t="shared" si="168"/>
        <v>19910.925999999999</v>
      </c>
      <c r="CA90" t="str">
        <f t="shared" si="156"/>
        <v>331</v>
      </c>
      <c r="CB90" s="7">
        <f t="shared" si="189"/>
        <v>1931.5726855408925</v>
      </c>
      <c r="CC90" s="7">
        <f t="shared" si="189"/>
        <v>1819.4681276410374</v>
      </c>
      <c r="CD90" s="7">
        <f t="shared" si="189"/>
        <v>1819.8952963174174</v>
      </c>
      <c r="CE90" s="7">
        <f t="shared" si="158"/>
        <v>2134.8918237453663</v>
      </c>
      <c r="CF90" s="7">
        <f t="shared" si="158"/>
        <v>2135.9489196898717</v>
      </c>
      <c r="CG90" s="7">
        <f t="shared" si="158"/>
        <v>2058.910056035751</v>
      </c>
      <c r="CH90" s="7">
        <f t="shared" si="158"/>
        <v>1811.54797443144</v>
      </c>
      <c r="CI90" s="7">
        <f t="shared" si="158"/>
        <v>1860.7007555363432</v>
      </c>
      <c r="CJ90" s="7">
        <f t="shared" si="158"/>
        <v>1980.5512991134312</v>
      </c>
      <c r="CK90" s="7">
        <f t="shared" si="158"/>
        <v>2096.657607556745</v>
      </c>
      <c r="CL90" s="7">
        <f t="shared" si="158"/>
        <v>2018.3220014173257</v>
      </c>
      <c r="CM90" s="7">
        <f t="shared" si="158"/>
        <v>2087.7303780101934</v>
      </c>
      <c r="CN90" s="7">
        <f t="shared" si="158"/>
        <v>2032.416827386887</v>
      </c>
      <c r="CO90" s="7">
        <f t="shared" si="158"/>
        <v>2031.356088</v>
      </c>
      <c r="CP90" s="7">
        <f t="shared" si="158"/>
        <v>1927.9607115402796</v>
      </c>
      <c r="CQ90" s="7">
        <f t="shared" si="158"/>
        <v>1984.8032031815608</v>
      </c>
      <c r="CR90" s="7">
        <f t="shared" si="158"/>
        <v>1881.1112478914877</v>
      </c>
      <c r="CS90" s="7">
        <f t="shared" si="158"/>
        <v>1629.9591760000001</v>
      </c>
      <c r="CT90" s="7">
        <f t="shared" si="158"/>
        <v>1681.9663811639548</v>
      </c>
      <c r="CU90" s="7">
        <f t="shared" si="158"/>
        <v>1709.7117812587637</v>
      </c>
      <c r="CV90" s="7">
        <f t="shared" si="158"/>
        <v>1414.7412336622619</v>
      </c>
      <c r="CW90" s="7">
        <f t="shared" si="158"/>
        <v>1285.6831</v>
      </c>
      <c r="CX90" s="7">
        <f t="shared" si="158"/>
        <v>1398.596658536504</v>
      </c>
      <c r="CY90" s="7">
        <f t="shared" si="158"/>
        <v>1367.2205669627242</v>
      </c>
      <c r="CZ90" s="7">
        <f t="shared" si="190"/>
        <v>960.90080405798346</v>
      </c>
      <c r="DA90" s="7">
        <f t="shared" si="190"/>
        <v>1255</v>
      </c>
      <c r="DB90" s="7">
        <f t="shared" ref="DB90:DE90" si="195">DB69</f>
        <v>1260.1959118059083</v>
      </c>
      <c r="DC90" s="7">
        <f t="shared" si="195"/>
        <v>1098.7242374193011</v>
      </c>
      <c r="DD90" s="7">
        <f t="shared" si="195"/>
        <v>1200.1910170523031</v>
      </c>
      <c r="DE90" s="7">
        <f t="shared" si="195"/>
        <v>1251</v>
      </c>
      <c r="DF90" s="7">
        <f t="shared" ref="DF90:DH90" si="196">DF69</f>
        <v>1037.5190144924757</v>
      </c>
      <c r="DG90" s="7">
        <f t="shared" si="196"/>
        <v>971.67780208199395</v>
      </c>
      <c r="DH90" s="7">
        <f t="shared" si="196"/>
        <v>984.99162402591401</v>
      </c>
      <c r="DI90" s="7"/>
    </row>
    <row r="91" spans="7:116" x14ac:dyDescent="0.2">
      <c r="BJ91">
        <f t="shared" si="166"/>
        <v>1994</v>
      </c>
      <c r="BK91">
        <f t="shared" si="167"/>
        <v>13115.658137318174</v>
      </c>
      <c r="BL91">
        <f t="shared" si="167"/>
        <v>690.29779670095718</v>
      </c>
      <c r="BM91">
        <f t="shared" si="172"/>
        <v>13805.955934019132</v>
      </c>
      <c r="BN91">
        <f t="shared" si="168"/>
        <v>20406.143</v>
      </c>
      <c r="CA91" t="str">
        <f t="shared" si="156"/>
        <v>332</v>
      </c>
      <c r="CB91" s="7">
        <f t="shared" si="189"/>
        <v>218.6220851003327</v>
      </c>
      <c r="CC91" s="7">
        <f t="shared" si="189"/>
        <v>236.43141790334087</v>
      </c>
      <c r="CD91" s="7">
        <f t="shared" si="189"/>
        <v>242.60813301921721</v>
      </c>
      <c r="CE91" s="7">
        <f t="shared" si="158"/>
        <v>251.14969713900282</v>
      </c>
      <c r="CF91" s="7">
        <f t="shared" si="158"/>
        <v>241.61252681571094</v>
      </c>
      <c r="CG91" s="7">
        <f t="shared" si="158"/>
        <v>222.61909858361435</v>
      </c>
      <c r="CH91" s="7">
        <f t="shared" si="158"/>
        <v>217.28105279356296</v>
      </c>
      <c r="CI91" s="7">
        <f t="shared" si="158"/>
        <v>221.51344199750795</v>
      </c>
      <c r="CJ91" s="7">
        <f t="shared" si="158"/>
        <v>238.70978614279537</v>
      </c>
      <c r="CK91" s="7">
        <f t="shared" si="158"/>
        <v>263.57968281835372</v>
      </c>
      <c r="CL91" s="7">
        <f t="shared" si="158"/>
        <v>289.62365431759213</v>
      </c>
      <c r="CM91" s="7">
        <f t="shared" si="158"/>
        <v>248.28781667305427</v>
      </c>
      <c r="CN91" s="7">
        <f t="shared" si="158"/>
        <v>234.68145352408129</v>
      </c>
      <c r="CO91" s="7">
        <f t="shared" si="158"/>
        <v>265.28541200000001</v>
      </c>
      <c r="CP91" s="7">
        <f t="shared" si="158"/>
        <v>288.74371654908276</v>
      </c>
      <c r="CQ91" s="7">
        <f t="shared" si="158"/>
        <v>253.16629233678722</v>
      </c>
      <c r="CR91" s="7">
        <f t="shared" si="158"/>
        <v>236.80312759318167</v>
      </c>
      <c r="CS91" s="7">
        <f t="shared" si="158"/>
        <v>226.21632399999999</v>
      </c>
      <c r="CT91" s="7">
        <f t="shared" ref="CE91:CY97" si="197">CT70</f>
        <v>210.87604467529428</v>
      </c>
      <c r="CU91" s="7">
        <f t="shared" si="197"/>
        <v>206.00060290700236</v>
      </c>
      <c r="CV91" s="7">
        <f t="shared" si="197"/>
        <v>209.91812999611622</v>
      </c>
      <c r="CW91" s="7">
        <f t="shared" si="197"/>
        <v>253.81542000000002</v>
      </c>
      <c r="CX91" s="7">
        <f t="shared" si="197"/>
        <v>236.27608038255704</v>
      </c>
      <c r="CY91" s="7">
        <f t="shared" si="197"/>
        <v>186.52536210085808</v>
      </c>
      <c r="CZ91" s="7">
        <f t="shared" si="190"/>
        <v>192.36823377378479</v>
      </c>
      <c r="DA91" s="7">
        <f t="shared" si="190"/>
        <v>174</v>
      </c>
      <c r="DB91" s="7">
        <f t="shared" ref="DB91:DE91" si="198">DB70</f>
        <v>188.724641806542</v>
      </c>
      <c r="DC91" s="7">
        <f t="shared" si="198"/>
        <v>193.8473245114659</v>
      </c>
      <c r="DD91" s="7">
        <f t="shared" si="198"/>
        <v>197.31845463184905</v>
      </c>
      <c r="DE91" s="7">
        <f t="shared" si="198"/>
        <v>201</v>
      </c>
      <c r="DF91" s="7">
        <f t="shared" ref="DF91:DH91" si="199">DF70</f>
        <v>243.17904468805639</v>
      </c>
      <c r="DG91" s="7">
        <f t="shared" si="199"/>
        <v>263.59014611965085</v>
      </c>
      <c r="DH91" s="7">
        <f t="shared" si="199"/>
        <v>244.97167709150528</v>
      </c>
      <c r="DI91" s="7"/>
    </row>
    <row r="92" spans="7:116" x14ac:dyDescent="0.2">
      <c r="BJ92">
        <f t="shared" si="166"/>
        <v>1995</v>
      </c>
      <c r="BK92">
        <f t="shared" si="167"/>
        <v>13449.007540808465</v>
      </c>
      <c r="BL92">
        <f t="shared" si="167"/>
        <v>705.01244935967657</v>
      </c>
      <c r="BM92">
        <f t="shared" si="172"/>
        <v>14154.019990168141</v>
      </c>
      <c r="BN92">
        <f t="shared" si="168"/>
        <v>20664.989000000001</v>
      </c>
      <c r="CA92" t="str">
        <f t="shared" si="156"/>
        <v>333</v>
      </c>
      <c r="CB92" s="7">
        <f t="shared" si="189"/>
        <v>118.55685257512636</v>
      </c>
      <c r="CC92" s="7">
        <f t="shared" si="189"/>
        <v>131.76262360948817</v>
      </c>
      <c r="CD92" s="7">
        <f t="shared" si="189"/>
        <v>133.59407668064966</v>
      </c>
      <c r="CE92" s="7">
        <f t="shared" si="197"/>
        <v>138.88393804304263</v>
      </c>
      <c r="CF92" s="7">
        <f t="shared" si="197"/>
        <v>135.84765730352257</v>
      </c>
      <c r="CG92" s="7">
        <f t="shared" si="197"/>
        <v>120.63206911012374</v>
      </c>
      <c r="CH92" s="7">
        <f t="shared" si="197"/>
        <v>113.47965946591772</v>
      </c>
      <c r="CI92" s="7">
        <f t="shared" si="197"/>
        <v>107.05467343210731</v>
      </c>
      <c r="CJ92" s="7">
        <f t="shared" si="197"/>
        <v>108.0675573372492</v>
      </c>
      <c r="CK92" s="7">
        <f t="shared" si="197"/>
        <v>112.92234511482371</v>
      </c>
      <c r="CL92" s="7">
        <f t="shared" si="197"/>
        <v>126.83165939971266</v>
      </c>
      <c r="CM92" s="7">
        <f t="shared" si="197"/>
        <v>112.60870645818754</v>
      </c>
      <c r="CN92" s="7">
        <f t="shared" si="197"/>
        <v>106.43670136428443</v>
      </c>
      <c r="CO92" s="7">
        <f t="shared" si="197"/>
        <v>116.85666400000001</v>
      </c>
      <c r="CP92" s="7">
        <f t="shared" si="197"/>
        <v>123.53689957565348</v>
      </c>
      <c r="CQ92" s="7">
        <f t="shared" si="197"/>
        <v>105.82598083764137</v>
      </c>
      <c r="CR92" s="7">
        <f t="shared" si="197"/>
        <v>100.6870972290484</v>
      </c>
      <c r="CS92" s="7">
        <f t="shared" si="197"/>
        <v>91.191044000000005</v>
      </c>
      <c r="CT92" s="7">
        <f t="shared" si="197"/>
        <v>77.406168726625395</v>
      </c>
      <c r="CU92" s="7">
        <f t="shared" si="197"/>
        <v>80.038938927797375</v>
      </c>
      <c r="CV92" s="7">
        <f t="shared" si="197"/>
        <v>81.01961365117613</v>
      </c>
      <c r="CW92" s="7">
        <f t="shared" si="197"/>
        <v>93.471671999999998</v>
      </c>
      <c r="CX92" s="7">
        <f t="shared" si="197"/>
        <v>100.2520387130355</v>
      </c>
      <c r="CY92" s="7">
        <f t="shared" si="197"/>
        <v>78.853051261641937</v>
      </c>
      <c r="CZ92" s="7">
        <f t="shared" si="190"/>
        <v>87.825004558862744</v>
      </c>
      <c r="DA92" s="7">
        <f t="shared" si="190"/>
        <v>78</v>
      </c>
      <c r="DB92" s="7">
        <f t="shared" ref="DB92:DE92" si="200">DB71</f>
        <v>87.855529195606763</v>
      </c>
      <c r="DC92" s="7">
        <f t="shared" si="200"/>
        <v>83.277537047934089</v>
      </c>
      <c r="DD92" s="7">
        <f t="shared" si="200"/>
        <v>85.159713195512765</v>
      </c>
      <c r="DE92" s="7">
        <f t="shared" si="200"/>
        <v>84</v>
      </c>
      <c r="DF92" s="7">
        <f t="shared" ref="DF92:DH92" si="201">DF71</f>
        <v>91.210008731150793</v>
      </c>
      <c r="DG92" s="7">
        <f t="shared" si="201"/>
        <v>95.547646245422513</v>
      </c>
      <c r="DH92" s="7">
        <f t="shared" si="201"/>
        <v>93.885723189927347</v>
      </c>
      <c r="DI92" s="7"/>
    </row>
    <row r="93" spans="7:116" x14ac:dyDescent="0.2">
      <c r="BJ93">
        <f t="shared" si="166"/>
        <v>1996</v>
      </c>
      <c r="BK93">
        <f t="shared" si="167"/>
        <v>13829.553533416596</v>
      </c>
      <c r="BL93">
        <f t="shared" si="167"/>
        <v>691.27332961062712</v>
      </c>
      <c r="BM93">
        <f t="shared" si="172"/>
        <v>14520.826863027223</v>
      </c>
      <c r="BN93">
        <f t="shared" si="168"/>
        <v>21309.33</v>
      </c>
      <c r="CA93" t="str">
        <f t="shared" si="156"/>
        <v>334</v>
      </c>
      <c r="CB93" s="7">
        <f t="shared" si="189"/>
        <v>54.789455724294967</v>
      </c>
      <c r="CC93" s="7">
        <f t="shared" si="189"/>
        <v>56.773381394787812</v>
      </c>
      <c r="CD93" s="7">
        <f t="shared" si="189"/>
        <v>60.400035479019486</v>
      </c>
      <c r="CE93" s="7">
        <f t="shared" si="197"/>
        <v>62.693189717341816</v>
      </c>
      <c r="CF93" s="7">
        <f t="shared" si="197"/>
        <v>62.697248115282292</v>
      </c>
      <c r="CG93" s="7">
        <f t="shared" si="197"/>
        <v>58.165999612572094</v>
      </c>
      <c r="CH93" s="7">
        <f t="shared" si="197"/>
        <v>56.220714404637988</v>
      </c>
      <c r="CI93" s="7">
        <f t="shared" si="197"/>
        <v>60.22308177563918</v>
      </c>
      <c r="CJ93" s="7">
        <f t="shared" si="197"/>
        <v>64.59076180040033</v>
      </c>
      <c r="CK93" s="7">
        <f t="shared" si="197"/>
        <v>66.930484972733723</v>
      </c>
      <c r="CL93" s="7">
        <f t="shared" si="197"/>
        <v>73.038453387793254</v>
      </c>
      <c r="CM93" s="7">
        <f t="shared" si="197"/>
        <v>72.049060260742735</v>
      </c>
      <c r="CN93" s="7">
        <f t="shared" si="197"/>
        <v>65.619117583298419</v>
      </c>
      <c r="CO93" s="7">
        <f t="shared" si="197"/>
        <v>67.813715999999999</v>
      </c>
      <c r="CP93" s="7">
        <f t="shared" si="197"/>
        <v>75.412349760347183</v>
      </c>
      <c r="CQ93" s="7">
        <f t="shared" si="197"/>
        <v>77.55543180251361</v>
      </c>
      <c r="CR93" s="7">
        <f t="shared" si="197"/>
        <v>65.334678752934266</v>
      </c>
      <c r="CS93" s="7">
        <f t="shared" si="197"/>
        <v>69.142976000000004</v>
      </c>
      <c r="CT93" s="7">
        <f t="shared" si="197"/>
        <v>51.968914187404209</v>
      </c>
      <c r="CU93" s="7">
        <f t="shared" si="197"/>
        <v>42.613564787609363</v>
      </c>
      <c r="CV93" s="7">
        <f t="shared" si="197"/>
        <v>42.539054285313028</v>
      </c>
      <c r="CW93" s="7">
        <f t="shared" si="197"/>
        <v>47.139291999999998</v>
      </c>
      <c r="CX93" s="7">
        <f t="shared" si="197"/>
        <v>59.317149731278079</v>
      </c>
      <c r="CY93" s="7">
        <f t="shared" si="197"/>
        <v>43.705219316728574</v>
      </c>
      <c r="CZ93" s="7">
        <f t="shared" si="190"/>
        <v>43.349239751799061</v>
      </c>
      <c r="DA93" s="7">
        <f t="shared" si="190"/>
        <v>43</v>
      </c>
      <c r="DB93" s="7">
        <f t="shared" ref="DB93:DE93" si="202">DB72</f>
        <v>49.219159610574309</v>
      </c>
      <c r="DC93" s="7">
        <f t="shared" si="202"/>
        <v>52.591791695115887</v>
      </c>
      <c r="DD93" s="7">
        <f t="shared" si="202"/>
        <v>49.834979659611527</v>
      </c>
      <c r="DE93" s="7">
        <f t="shared" si="202"/>
        <v>50</v>
      </c>
      <c r="DF93" s="7">
        <f t="shared" ref="DF93:DH93" si="203">DF72</f>
        <v>67.394282393857807</v>
      </c>
      <c r="DG93" s="7">
        <f t="shared" si="203"/>
        <v>78.148456594430797</v>
      </c>
      <c r="DH93" s="7">
        <f t="shared" si="203"/>
        <v>115.00668055372442</v>
      </c>
      <c r="DI93" s="7"/>
    </row>
    <row r="94" spans="7:116" x14ac:dyDescent="0.2">
      <c r="BJ94">
        <f t="shared" si="166"/>
        <v>1997</v>
      </c>
      <c r="BK94">
        <f t="shared" si="167"/>
        <v>13832.224512044544</v>
      </c>
      <c r="BL94">
        <f t="shared" si="167"/>
        <v>672.17784152621789</v>
      </c>
      <c r="BM94">
        <f t="shared" si="172"/>
        <v>14504.402353570762</v>
      </c>
      <c r="BN94">
        <f t="shared" si="168"/>
        <v>21562.81</v>
      </c>
      <c r="CA94" t="str">
        <f t="shared" si="156"/>
        <v>335</v>
      </c>
      <c r="CB94" s="7">
        <f t="shared" si="189"/>
        <v>62.919467623803939</v>
      </c>
      <c r="CC94" s="7">
        <f t="shared" si="189"/>
        <v>69.916919680982033</v>
      </c>
      <c r="CD94" s="7">
        <f t="shared" si="189"/>
        <v>67.361584373291663</v>
      </c>
      <c r="CE94" s="7">
        <f t="shared" si="197"/>
        <v>64.55717435203718</v>
      </c>
      <c r="CF94" s="7">
        <f t="shared" si="197"/>
        <v>64.994227835018435</v>
      </c>
      <c r="CG94" s="7">
        <f t="shared" si="197"/>
        <v>57.975944538459906</v>
      </c>
      <c r="CH94" s="7">
        <f t="shared" si="197"/>
        <v>55.611292613491038</v>
      </c>
      <c r="CI94" s="7">
        <f t="shared" si="197"/>
        <v>57.234985489425249</v>
      </c>
      <c r="CJ94" s="7">
        <f t="shared" si="197"/>
        <v>62.688490345889321</v>
      </c>
      <c r="CK94" s="7">
        <f t="shared" si="197"/>
        <v>67.848599515192888</v>
      </c>
      <c r="CL94" s="7">
        <f t="shared" si="197"/>
        <v>77.856750209741236</v>
      </c>
      <c r="CM94" s="7">
        <f t="shared" si="197"/>
        <v>67.460163031968875</v>
      </c>
      <c r="CN94" s="7">
        <f t="shared" si="197"/>
        <v>58.848707074425718</v>
      </c>
      <c r="CO94" s="7">
        <f t="shared" si="197"/>
        <v>60.671008</v>
      </c>
      <c r="CP94" s="7">
        <f t="shared" si="197"/>
        <v>66.741514974897328</v>
      </c>
      <c r="CQ94" s="7">
        <f t="shared" si="197"/>
        <v>60.834662292932563</v>
      </c>
      <c r="CR94" s="7">
        <f t="shared" si="197"/>
        <v>57.139295822194057</v>
      </c>
      <c r="CS94" s="7">
        <f t="shared" si="197"/>
        <v>55.569788000000003</v>
      </c>
      <c r="CT94" s="7">
        <f t="shared" si="197"/>
        <v>46.141970005738216</v>
      </c>
      <c r="CU94" s="7">
        <f t="shared" si="197"/>
        <v>40.590875635963556</v>
      </c>
      <c r="CV94" s="7">
        <f t="shared" si="197"/>
        <v>39.675361294282581</v>
      </c>
      <c r="CW94" s="7">
        <f t="shared" si="197"/>
        <v>43.097796000000002</v>
      </c>
      <c r="CX94" s="7">
        <f t="shared" si="197"/>
        <v>45.825803281131591</v>
      </c>
      <c r="CY94" s="7">
        <f t="shared" si="197"/>
        <v>37.150422470058906</v>
      </c>
      <c r="CZ94" s="7">
        <f t="shared" si="190"/>
        <v>36.104547894183433</v>
      </c>
      <c r="DA94" s="7">
        <f t="shared" si="190"/>
        <v>38</v>
      </c>
      <c r="DB94" s="7">
        <f t="shared" ref="DB94:DE94" si="204">DB73</f>
        <v>37.494398211204988</v>
      </c>
      <c r="DC94" s="7">
        <f t="shared" si="204"/>
        <v>33.121930438388155</v>
      </c>
      <c r="DD94" s="7">
        <f t="shared" si="204"/>
        <v>28.316056303566675</v>
      </c>
      <c r="DE94" s="7">
        <f t="shared" si="204"/>
        <v>31</v>
      </c>
      <c r="DF94" s="7">
        <f t="shared" ref="DF94:DH94" si="205">DF73</f>
        <v>36.617221564145147</v>
      </c>
      <c r="DG94" s="7">
        <f t="shared" si="205"/>
        <v>40.504609252761661</v>
      </c>
      <c r="DH94" s="7">
        <f t="shared" si="205"/>
        <v>37.768124814892275</v>
      </c>
      <c r="DI94" s="7"/>
    </row>
    <row r="95" spans="7:116" x14ac:dyDescent="0.2">
      <c r="BJ95">
        <f t="shared" si="166"/>
        <v>1998</v>
      </c>
      <c r="BK95">
        <f t="shared" si="167"/>
        <v>13926.158976399996</v>
      </c>
      <c r="BL95">
        <f t="shared" si="167"/>
        <v>732.95573560000048</v>
      </c>
      <c r="BM95">
        <f t="shared" si="172"/>
        <v>14659.114711999997</v>
      </c>
      <c r="BN95">
        <f t="shared" si="168"/>
        <v>21183.828000000001</v>
      </c>
      <c r="CA95" t="str">
        <f t="shared" si="156"/>
        <v>336</v>
      </c>
      <c r="CB95" s="7">
        <f t="shared" si="189"/>
        <v>234.98001273849101</v>
      </c>
      <c r="CC95" s="7">
        <f t="shared" si="189"/>
        <v>244.14932796917603</v>
      </c>
      <c r="CD95" s="7">
        <f t="shared" si="189"/>
        <v>242.38099655777575</v>
      </c>
      <c r="CE95" s="7">
        <f t="shared" si="197"/>
        <v>254.78050349600764</v>
      </c>
      <c r="CF95" s="7">
        <f t="shared" si="197"/>
        <v>251.14742131079424</v>
      </c>
      <c r="CG95" s="7">
        <f t="shared" si="197"/>
        <v>237.32816845389928</v>
      </c>
      <c r="CH95" s="7">
        <f t="shared" si="197"/>
        <v>244.13057132985355</v>
      </c>
      <c r="CI95" s="7">
        <f t="shared" si="197"/>
        <v>253.07663671240181</v>
      </c>
      <c r="CJ95" s="7">
        <f t="shared" si="197"/>
        <v>281.57130919761488</v>
      </c>
      <c r="CK95" s="7">
        <f t="shared" si="197"/>
        <v>260.23443301298028</v>
      </c>
      <c r="CL95" s="7">
        <f t="shared" si="197"/>
        <v>278.41898668330401</v>
      </c>
      <c r="CM95" s="7">
        <f t="shared" si="197"/>
        <v>260.19136025138812</v>
      </c>
      <c r="CN95" s="7">
        <f t="shared" si="197"/>
        <v>258.23641416413506</v>
      </c>
      <c r="CO95" s="7">
        <f t="shared" si="197"/>
        <v>292.75512400000002</v>
      </c>
      <c r="CP95" s="7">
        <f t="shared" si="197"/>
        <v>276.64336592279864</v>
      </c>
      <c r="CQ95" s="7">
        <f t="shared" si="197"/>
        <v>246.84021245432757</v>
      </c>
      <c r="CR95" s="7">
        <f t="shared" si="197"/>
        <v>257.20038854295694</v>
      </c>
      <c r="CS95" s="7">
        <f t="shared" si="197"/>
        <v>251.66670399999998</v>
      </c>
      <c r="CT95" s="7">
        <f t="shared" si="197"/>
        <v>229.98821579246055</v>
      </c>
      <c r="CU95" s="7">
        <f t="shared" si="197"/>
        <v>241.72063665115977</v>
      </c>
      <c r="CV95" s="7">
        <f t="shared" si="197"/>
        <v>235.38043019571958</v>
      </c>
      <c r="CW95" s="7">
        <f t="shared" si="197"/>
        <v>283.93937199999999</v>
      </c>
      <c r="CX95" s="7">
        <f t="shared" si="197"/>
        <v>255.92503066606668</v>
      </c>
      <c r="CY95" s="7">
        <f t="shared" si="197"/>
        <v>178.02133203826156</v>
      </c>
      <c r="CZ95" s="7">
        <f t="shared" si="190"/>
        <v>172.38272816028737</v>
      </c>
      <c r="DA95" s="7">
        <f t="shared" si="190"/>
        <v>143</v>
      </c>
      <c r="DB95" s="7">
        <f t="shared" ref="DB95:DE95" si="206">DB74</f>
        <v>150.92000632672566</v>
      </c>
      <c r="DC95" s="7">
        <f t="shared" si="206"/>
        <v>147.50185586468626</v>
      </c>
      <c r="DD95" s="7">
        <f t="shared" si="206"/>
        <v>152.54903819923609</v>
      </c>
      <c r="DE95" s="7">
        <f t="shared" si="206"/>
        <v>164</v>
      </c>
      <c r="DF95" s="7">
        <f t="shared" ref="DF95:DH95" si="207">DF74</f>
        <v>195.87148502702223</v>
      </c>
      <c r="DG95" s="7">
        <f t="shared" si="207"/>
        <v>208.49515535683466</v>
      </c>
      <c r="DH95" s="7">
        <f t="shared" si="207"/>
        <v>179.8142879532501</v>
      </c>
      <c r="DI95" s="7"/>
    </row>
    <row r="96" spans="7:116" x14ac:dyDescent="0.2">
      <c r="G96">
        <f t="shared" ref="G96:AD96" si="208">G74</f>
        <v>1985</v>
      </c>
      <c r="H96">
        <f t="shared" si="208"/>
        <v>1986</v>
      </c>
      <c r="I96">
        <f t="shared" si="208"/>
        <v>1987</v>
      </c>
      <c r="J96">
        <f t="shared" si="208"/>
        <v>1988</v>
      </c>
      <c r="K96">
        <f t="shared" si="208"/>
        <v>1989</v>
      </c>
      <c r="L96">
        <f t="shared" si="208"/>
        <v>1990</v>
      </c>
      <c r="M96">
        <f t="shared" si="208"/>
        <v>1991</v>
      </c>
      <c r="N96">
        <f t="shared" si="208"/>
        <v>1992</v>
      </c>
      <c r="O96">
        <f t="shared" si="208"/>
        <v>1993</v>
      </c>
      <c r="P96">
        <f t="shared" si="208"/>
        <v>1994</v>
      </c>
      <c r="Q96">
        <f t="shared" si="208"/>
        <v>1995</v>
      </c>
      <c r="R96">
        <f t="shared" si="208"/>
        <v>1996</v>
      </c>
      <c r="S96">
        <f t="shared" si="208"/>
        <v>1997</v>
      </c>
      <c r="T96">
        <f t="shared" si="208"/>
        <v>1998</v>
      </c>
      <c r="U96">
        <f t="shared" si="208"/>
        <v>1999</v>
      </c>
      <c r="V96">
        <f t="shared" si="208"/>
        <v>2000</v>
      </c>
      <c r="W96">
        <f t="shared" si="208"/>
        <v>2001</v>
      </c>
      <c r="X96">
        <f t="shared" si="208"/>
        <v>2002</v>
      </c>
      <c r="Y96">
        <f t="shared" si="208"/>
        <v>2003</v>
      </c>
      <c r="Z96">
        <f t="shared" si="208"/>
        <v>2004</v>
      </c>
      <c r="AA96">
        <f t="shared" si="208"/>
        <v>2005</v>
      </c>
      <c r="AB96">
        <f t="shared" si="208"/>
        <v>2006</v>
      </c>
      <c r="AC96">
        <f t="shared" si="208"/>
        <v>2007</v>
      </c>
      <c r="AD96">
        <f t="shared" si="208"/>
        <v>2008</v>
      </c>
      <c r="AE96">
        <f>AE74</f>
        <v>2009</v>
      </c>
      <c r="AF96">
        <f>AF74</f>
        <v>2010</v>
      </c>
      <c r="AG96">
        <f t="shared" ref="AG96:AJ96" si="209">AG74</f>
        <v>2011</v>
      </c>
      <c r="AH96">
        <f t="shared" si="209"/>
        <v>2012</v>
      </c>
      <c r="AI96">
        <f t="shared" si="209"/>
        <v>2013</v>
      </c>
      <c r="AJ96">
        <f t="shared" si="209"/>
        <v>2014</v>
      </c>
      <c r="AK96">
        <f t="shared" ref="AK96:AM96" si="210">AK74</f>
        <v>2015</v>
      </c>
      <c r="AL96">
        <f t="shared" si="210"/>
        <v>2016</v>
      </c>
      <c r="AM96">
        <f t="shared" si="210"/>
        <v>2017</v>
      </c>
      <c r="BJ96">
        <f t="shared" si="166"/>
        <v>1999</v>
      </c>
      <c r="BK96">
        <f t="shared" si="167"/>
        <v>13992.083858130147</v>
      </c>
      <c r="BL96">
        <f t="shared" si="167"/>
        <v>755.3993661858932</v>
      </c>
      <c r="BM96">
        <f t="shared" si="172"/>
        <v>14747.48322431604</v>
      </c>
      <c r="BN96">
        <f t="shared" si="168"/>
        <v>20943.474000000002</v>
      </c>
      <c r="CA96" t="str">
        <f t="shared" si="156"/>
        <v>337</v>
      </c>
      <c r="CB96" s="7">
        <f t="shared" si="189"/>
        <v>37.383822846973821</v>
      </c>
      <c r="CC96" s="7">
        <f t="shared" si="189"/>
        <v>42.985850897299549</v>
      </c>
      <c r="CD96" s="7">
        <f t="shared" si="189"/>
        <v>46.939987356383909</v>
      </c>
      <c r="CE96" s="7">
        <f t="shared" si="197"/>
        <v>48.640156995919362</v>
      </c>
      <c r="CF96" s="7">
        <f t="shared" si="197"/>
        <v>54.790411286187279</v>
      </c>
      <c r="CG96" s="7">
        <f t="shared" si="197"/>
        <v>52.543324444208949</v>
      </c>
      <c r="CH96" s="7">
        <f t="shared" si="197"/>
        <v>55.8843501953478</v>
      </c>
      <c r="CI96" s="7">
        <f t="shared" si="197"/>
        <v>52.652898635297085</v>
      </c>
      <c r="CJ96" s="7">
        <f t="shared" si="197"/>
        <v>50.694628080839159</v>
      </c>
      <c r="CK96" s="7">
        <f t="shared" si="197"/>
        <v>47.300771088826892</v>
      </c>
      <c r="CL96" s="7">
        <f t="shared" si="197"/>
        <v>55.003014814745541</v>
      </c>
      <c r="CM96" s="7">
        <f t="shared" si="197"/>
        <v>51.030768858049989</v>
      </c>
      <c r="CN96" s="7">
        <f t="shared" si="197"/>
        <v>51.656782449462625</v>
      </c>
      <c r="CO96" s="7">
        <f t="shared" si="197"/>
        <v>58.499848</v>
      </c>
      <c r="CP96" s="7">
        <f t="shared" si="197"/>
        <v>60.507721609016151</v>
      </c>
      <c r="CQ96" s="7">
        <f t="shared" si="197"/>
        <v>50.020066867969469</v>
      </c>
      <c r="CR96" s="7">
        <f t="shared" si="197"/>
        <v>42.856703444423736</v>
      </c>
      <c r="CS96" s="7">
        <f t="shared" si="197"/>
        <v>38.904455999999996</v>
      </c>
      <c r="CT96" s="7">
        <f t="shared" si="197"/>
        <v>29.433026608129488</v>
      </c>
      <c r="CU96" s="7">
        <f t="shared" si="197"/>
        <v>28.467484332631365</v>
      </c>
      <c r="CV96" s="7">
        <f t="shared" si="197"/>
        <v>26.177017904743494</v>
      </c>
      <c r="CW96" s="7">
        <f t="shared" si="197"/>
        <v>28.391231999999999</v>
      </c>
      <c r="CX96" s="7">
        <f t="shared" si="197"/>
        <v>27.714561877145339</v>
      </c>
      <c r="CY96" s="7">
        <f t="shared" si="197"/>
        <v>21.906717243100903</v>
      </c>
      <c r="CZ96" s="7">
        <f t="shared" si="190"/>
        <v>22.324842479284005</v>
      </c>
      <c r="DA96" s="7">
        <f t="shared" si="190"/>
        <v>19</v>
      </c>
      <c r="DB96" s="7">
        <f t="shared" ref="DB96:DE96" si="211">DB75</f>
        <v>19.114039343101386</v>
      </c>
      <c r="DC96" s="7">
        <f t="shared" si="211"/>
        <v>20.810421304257442</v>
      </c>
      <c r="DD96" s="7">
        <f t="shared" si="211"/>
        <v>19.613149087444253</v>
      </c>
      <c r="DE96" s="7">
        <f t="shared" si="211"/>
        <v>20</v>
      </c>
      <c r="DF96" s="7">
        <f t="shared" ref="DF96:DH96" si="212">DF75</f>
        <v>30.305461091321359</v>
      </c>
      <c r="DG96" s="7">
        <f t="shared" si="212"/>
        <v>33.128867471795822</v>
      </c>
      <c r="DH96" s="7">
        <f t="shared" si="212"/>
        <v>28.943222007530053</v>
      </c>
      <c r="DI96" s="7"/>
    </row>
    <row r="97" spans="6:113" x14ac:dyDescent="0.2">
      <c r="F97" t="str">
        <f t="shared" ref="F97:AD97" si="213">F59</f>
        <v>326</v>
      </c>
      <c r="G97">
        <f t="shared" si="213"/>
        <v>128.43055874180072</v>
      </c>
      <c r="H97">
        <f t="shared" si="213"/>
        <v>133.84760516468384</v>
      </c>
      <c r="I97">
        <f t="shared" si="213"/>
        <v>142.45155951341272</v>
      </c>
      <c r="J97">
        <f t="shared" si="213"/>
        <v>150.36582650079393</v>
      </c>
      <c r="K97">
        <f t="shared" si="213"/>
        <v>143.26385529558047</v>
      </c>
      <c r="L97">
        <f t="shared" si="213"/>
        <v>139.2957383287027</v>
      </c>
      <c r="M97">
        <f t="shared" si="213"/>
        <v>125.61488437265322</v>
      </c>
      <c r="N97">
        <f t="shared" si="213"/>
        <v>132.92807190666201</v>
      </c>
      <c r="O97">
        <f t="shared" si="213"/>
        <v>145.81861444258848</v>
      </c>
      <c r="P97">
        <f t="shared" si="213"/>
        <v>141.58522460569185</v>
      </c>
      <c r="Q97">
        <f t="shared" si="213"/>
        <v>143.24858507275479</v>
      </c>
      <c r="R97">
        <f t="shared" si="213"/>
        <v>149.70713400867646</v>
      </c>
      <c r="S97">
        <f t="shared" si="213"/>
        <v>148.05203066926589</v>
      </c>
      <c r="T97">
        <f t="shared" si="213"/>
        <v>144.39999600000002</v>
      </c>
      <c r="U97">
        <f t="shared" si="213"/>
        <v>155.50931366664574</v>
      </c>
      <c r="V97">
        <f t="shared" si="213"/>
        <v>163.26045037942168</v>
      </c>
      <c r="W97">
        <f t="shared" si="213"/>
        <v>167.35416280827747</v>
      </c>
      <c r="X97">
        <f t="shared" si="213"/>
        <v>166.54642800000002</v>
      </c>
      <c r="Y97">
        <f t="shared" si="213"/>
        <v>160.20750099399646</v>
      </c>
      <c r="Z97">
        <f t="shared" si="213"/>
        <v>171.5044087336351</v>
      </c>
      <c r="AA97">
        <f t="shared" si="213"/>
        <v>166.09623462999605</v>
      </c>
      <c r="AB97">
        <f t="shared" si="213"/>
        <v>153.785552</v>
      </c>
      <c r="AC97">
        <f t="shared" si="213"/>
        <v>144.06196000379629</v>
      </c>
      <c r="AD97">
        <f t="shared" si="213"/>
        <v>137.64430205404923</v>
      </c>
      <c r="AE97">
        <f t="shared" ref="AE97:AF100" si="214">AE59</f>
        <v>111.94272030024273</v>
      </c>
      <c r="AF97">
        <f t="shared" si="214"/>
        <v>116</v>
      </c>
      <c r="AG97">
        <f t="shared" ref="AG97:AJ97" si="215">AG59</f>
        <v>114.5728873428538</v>
      </c>
      <c r="AH97">
        <f t="shared" si="215"/>
        <v>112.09663444240343</v>
      </c>
      <c r="AI97">
        <f t="shared" si="215"/>
        <v>108.59187483607725</v>
      </c>
      <c r="AJ97">
        <f t="shared" si="215"/>
        <v>104</v>
      </c>
      <c r="AK97">
        <f t="shared" ref="AK97:AM97" si="216">AK59</f>
        <v>105.54109379227963</v>
      </c>
      <c r="AL97">
        <f t="shared" si="216"/>
        <v>104.54255135676441</v>
      </c>
      <c r="AM97">
        <f t="shared" si="216"/>
        <v>97.83997289750954</v>
      </c>
      <c r="BJ97">
        <f t="shared" si="166"/>
        <v>2000</v>
      </c>
      <c r="BK97">
        <f t="shared" si="167"/>
        <v>14177.654803360852</v>
      </c>
      <c r="BL97">
        <f t="shared" si="167"/>
        <v>747.47738141598234</v>
      </c>
      <c r="BM97">
        <f t="shared" si="172"/>
        <v>14925.132184776834</v>
      </c>
      <c r="BN97">
        <f t="shared" si="168"/>
        <v>20819.778000000002</v>
      </c>
      <c r="CA97" t="str">
        <f t="shared" si="156"/>
        <v>339</v>
      </c>
      <c r="CB97" s="7">
        <f t="shared" si="189"/>
        <v>33.863505680901589</v>
      </c>
      <c r="CC97" s="7">
        <f t="shared" si="189"/>
        <v>39.628355216449528</v>
      </c>
      <c r="CD97" s="7">
        <f t="shared" si="189"/>
        <v>43.311356676392833</v>
      </c>
      <c r="CE97" s="7">
        <f t="shared" si="197"/>
        <v>45.434393503358493</v>
      </c>
      <c r="CF97" s="7">
        <f t="shared" si="197"/>
        <v>41.18066817037402</v>
      </c>
      <c r="CG97" s="7">
        <f t="shared" si="197"/>
        <v>38.691516089207084</v>
      </c>
      <c r="CH97" s="7">
        <f t="shared" si="197"/>
        <v>34.793804965135031</v>
      </c>
      <c r="CI97" s="7">
        <f t="shared" si="197"/>
        <v>38.845725201786685</v>
      </c>
      <c r="CJ97" s="7">
        <f t="shared" si="197"/>
        <v>43.649220105879621</v>
      </c>
      <c r="CK97" s="7">
        <f t="shared" si="197"/>
        <v>48.376910834473634</v>
      </c>
      <c r="CL97" s="7">
        <f t="shared" si="197"/>
        <v>54.003433472495793</v>
      </c>
      <c r="CM97" s="7">
        <f t="shared" si="197"/>
        <v>44.191956365805062</v>
      </c>
      <c r="CN97" s="7">
        <f t="shared" si="197"/>
        <v>42.319065802984603</v>
      </c>
      <c r="CO97" s="7">
        <f t="shared" si="197"/>
        <v>47.700868</v>
      </c>
      <c r="CP97" s="7">
        <f t="shared" si="197"/>
        <v>46.745155175063296</v>
      </c>
      <c r="CQ97" s="7">
        <f t="shared" si="197"/>
        <v>38.101014045070116</v>
      </c>
      <c r="CR97" s="7">
        <f t="shared" si="197"/>
        <v>33.200659911387405</v>
      </c>
      <c r="CS97" s="7">
        <f t="shared" si="197"/>
        <v>35.603912000000001</v>
      </c>
      <c r="CT97" s="7">
        <f t="shared" si="197"/>
        <v>30.337702942254708</v>
      </c>
      <c r="CU97" s="7">
        <f t="shared" si="197"/>
        <v>28.689353232890731</v>
      </c>
      <c r="CV97" s="7">
        <f t="shared" si="197"/>
        <v>27.696006039892389</v>
      </c>
      <c r="CW97" s="7">
        <f t="shared" si="197"/>
        <v>32.982075999999999</v>
      </c>
      <c r="CX97" s="7">
        <f t="shared" si="197"/>
        <v>31.838460359608138</v>
      </c>
      <c r="CY97" s="7">
        <f t="shared" si="197"/>
        <v>20.608192835341118</v>
      </c>
      <c r="CZ97" s="7">
        <f t="shared" si="190"/>
        <v>22.524890856185063</v>
      </c>
      <c r="DA97" s="7">
        <f t="shared" si="190"/>
        <v>17</v>
      </c>
      <c r="DB97" s="7">
        <f t="shared" ref="DB97:DE97" si="217">DB76</f>
        <v>20.193387797529102</v>
      </c>
      <c r="DC97" s="7">
        <f t="shared" si="217"/>
        <v>22.881220733375581</v>
      </c>
      <c r="DD97" s="7">
        <f t="shared" si="217"/>
        <v>27.617340891758243</v>
      </c>
      <c r="DE97" s="7">
        <f t="shared" si="217"/>
        <v>28</v>
      </c>
      <c r="DF97" s="7">
        <f t="shared" ref="DF97:DH97" si="218">DF76</f>
        <v>34.370638862344556</v>
      </c>
      <c r="DG97" s="7">
        <f t="shared" si="218"/>
        <v>39.212485077900489</v>
      </c>
      <c r="DH97" s="7">
        <f t="shared" si="218"/>
        <v>38.943663904859179</v>
      </c>
      <c r="DI97" s="7"/>
    </row>
    <row r="98" spans="6:113" x14ac:dyDescent="0.2">
      <c r="F98" t="str">
        <f t="shared" ref="F98:AD98" si="219">F60</f>
        <v>327</v>
      </c>
      <c r="G98">
        <f t="shared" si="219"/>
        <v>791.01545520082436</v>
      </c>
      <c r="H98">
        <f t="shared" si="219"/>
        <v>820.21574298373901</v>
      </c>
      <c r="I98">
        <f t="shared" si="219"/>
        <v>864.25272072090831</v>
      </c>
      <c r="J98">
        <f t="shared" si="219"/>
        <v>884.64406029384702</v>
      </c>
      <c r="K98">
        <f t="shared" si="219"/>
        <v>846.73924465666107</v>
      </c>
      <c r="L98">
        <f t="shared" si="219"/>
        <v>824.6232998599811</v>
      </c>
      <c r="M98">
        <f t="shared" si="219"/>
        <v>788.81428212035598</v>
      </c>
      <c r="N98">
        <f t="shared" si="219"/>
        <v>806.45298986375963</v>
      </c>
      <c r="O98">
        <f t="shared" si="219"/>
        <v>829.45911055591841</v>
      </c>
      <c r="P98">
        <f t="shared" si="219"/>
        <v>822.05619657793363</v>
      </c>
      <c r="Q98">
        <f t="shared" si="219"/>
        <v>831.4492867887202</v>
      </c>
      <c r="R98">
        <f t="shared" si="219"/>
        <v>839.46261031731456</v>
      </c>
      <c r="S98">
        <f t="shared" si="219"/>
        <v>830.41398281608042</v>
      </c>
      <c r="T98">
        <f t="shared" si="219"/>
        <v>834.98687599999994</v>
      </c>
      <c r="U98">
        <f t="shared" si="219"/>
        <v>877.55768478053301</v>
      </c>
      <c r="V98">
        <f t="shared" si="219"/>
        <v>904.78331395435282</v>
      </c>
      <c r="W98">
        <f t="shared" si="219"/>
        <v>911.66886900924635</v>
      </c>
      <c r="X98">
        <f t="shared" si="219"/>
        <v>910.76708400000007</v>
      </c>
      <c r="Y98">
        <f t="shared" si="219"/>
        <v>896.47929577392085</v>
      </c>
      <c r="Z98">
        <f t="shared" si="219"/>
        <v>956.78605808910106</v>
      </c>
      <c r="AA98">
        <f t="shared" si="219"/>
        <v>979.05222277425401</v>
      </c>
      <c r="AB98">
        <f t="shared" si="219"/>
        <v>958.36588800000004</v>
      </c>
      <c r="AC98">
        <f t="shared" si="219"/>
        <v>918.94302467011028</v>
      </c>
      <c r="AD98">
        <f t="shared" si="219"/>
        <v>832.01834698945288</v>
      </c>
      <c r="AE98">
        <f t="shared" si="214"/>
        <v>622.95141825905012</v>
      </c>
      <c r="AF98">
        <f t="shared" si="214"/>
        <v>600</v>
      </c>
      <c r="AG98">
        <f t="shared" ref="AG98:AJ98" si="220">AG60</f>
        <v>623.89463196506142</v>
      </c>
      <c r="AH98">
        <f t="shared" si="220"/>
        <v>644.7772659842351</v>
      </c>
      <c r="AI98">
        <f t="shared" si="220"/>
        <v>663.64463007587403</v>
      </c>
      <c r="AJ98">
        <f t="shared" si="220"/>
        <v>699</v>
      </c>
      <c r="AK98">
        <f t="shared" ref="AK98:AM98" si="221">AK60</f>
        <v>720.05891819172143</v>
      </c>
      <c r="AL98">
        <f t="shared" si="221"/>
        <v>723.78533975302594</v>
      </c>
      <c r="AM98">
        <f t="shared" si="221"/>
        <v>713.76155007544855</v>
      </c>
      <c r="BJ98">
        <f t="shared" si="166"/>
        <v>2001</v>
      </c>
      <c r="BK98">
        <f t="shared" si="167"/>
        <v>13482.68103854384</v>
      </c>
      <c r="BL98">
        <f t="shared" si="167"/>
        <v>725.72943030917452</v>
      </c>
      <c r="BM98">
        <f t="shared" si="172"/>
        <v>14208.410468853015</v>
      </c>
      <c r="BN98">
        <f t="shared" si="168"/>
        <v>20007.338</v>
      </c>
      <c r="CB98" s="7">
        <f>SUM(CB80:CB97)</f>
        <v>11405.381661116657</v>
      </c>
      <c r="CC98" s="7">
        <f t="shared" ref="CC98:CY98" si="222">SUM(CC80:CC97)</f>
        <v>11805.180783452881</v>
      </c>
      <c r="CD98" s="7">
        <f t="shared" si="222"/>
        <v>12072.928350736656</v>
      </c>
      <c r="CE98" s="7">
        <f t="shared" si="222"/>
        <v>13042.115484022981</v>
      </c>
      <c r="CF98" s="7">
        <f t="shared" si="222"/>
        <v>13104.265331447779</v>
      </c>
      <c r="CG98" s="7">
        <f t="shared" si="222"/>
        <v>13103.425439913102</v>
      </c>
      <c r="CH98" s="7">
        <f t="shared" si="222"/>
        <v>12599.548369464048</v>
      </c>
      <c r="CI98" s="7">
        <f t="shared" si="222"/>
        <v>12996.418569503452</v>
      </c>
      <c r="CJ98" s="7">
        <f t="shared" si="222"/>
        <v>13376.494235228505</v>
      </c>
      <c r="CK98" s="7">
        <f t="shared" si="222"/>
        <v>13805.955934019132</v>
      </c>
      <c r="CL98" s="7">
        <f t="shared" si="222"/>
        <v>14211.777729152858</v>
      </c>
      <c r="CM98" s="7">
        <f t="shared" si="222"/>
        <v>14258.316948536629</v>
      </c>
      <c r="CN98" s="7">
        <f t="shared" si="222"/>
        <v>14245.009418160424</v>
      </c>
      <c r="CO98" s="7">
        <f t="shared" si="222"/>
        <v>14659.114711999997</v>
      </c>
      <c r="CP98" s="7">
        <f t="shared" si="222"/>
        <v>14920.161681155838</v>
      </c>
      <c r="CQ98" s="7">
        <f t="shared" si="222"/>
        <v>14785.024832475434</v>
      </c>
      <c r="CR98" s="7">
        <f t="shared" si="222"/>
        <v>14295.866372999417</v>
      </c>
      <c r="CS98" s="7">
        <f t="shared" si="222"/>
        <v>13433.641368000002</v>
      </c>
      <c r="CT98" s="7">
        <f t="shared" si="222"/>
        <v>13113.137221225885</v>
      </c>
      <c r="CU98" s="7">
        <f t="shared" si="222"/>
        <v>12950.8719434869</v>
      </c>
      <c r="CV98" s="7">
        <f t="shared" si="222"/>
        <v>12740.8006945982</v>
      </c>
      <c r="CW98" s="7">
        <f t="shared" si="222"/>
        <v>12805.585636000002</v>
      </c>
      <c r="CX98" s="7">
        <f t="shared" si="222"/>
        <v>12902.103729277938</v>
      </c>
      <c r="CY98" s="7">
        <f t="shared" si="222"/>
        <v>12229.231348957175</v>
      </c>
      <c r="CZ98" s="7">
        <f>SUM(CZ80:CZ97)</f>
        <v>11278.299924045068</v>
      </c>
      <c r="DA98" s="7">
        <f>SUM(DA80:DA97)</f>
        <v>11795</v>
      </c>
      <c r="DB98" s="7">
        <f>SUM(DB80:DB97)</f>
        <v>11661.920733035413</v>
      </c>
      <c r="DC98" s="7">
        <f t="shared" ref="DC98:DE98" si="223">SUM(DC80:DC97)</f>
        <v>11017.078970851395</v>
      </c>
      <c r="DD98" s="7">
        <f t="shared" si="223"/>
        <v>11929.722103697588</v>
      </c>
      <c r="DE98" s="7">
        <f t="shared" si="223"/>
        <v>12301</v>
      </c>
      <c r="DF98" s="7">
        <f t="shared" ref="DF98:DH98" si="224">SUM(DF80:DF97)</f>
        <v>11954.117982146578</v>
      </c>
      <c r="DG98" s="7">
        <f t="shared" si="224"/>
        <v>12191.032093345204</v>
      </c>
      <c r="DH98" s="7">
        <f t="shared" si="224"/>
        <v>11881.290249504702</v>
      </c>
      <c r="DI98" s="7"/>
    </row>
    <row r="99" spans="6:113" x14ac:dyDescent="0.2">
      <c r="F99" t="str">
        <f t="shared" ref="F99:AD99" si="225">F61</f>
        <v>331</v>
      </c>
      <c r="G99">
        <f t="shared" si="225"/>
        <v>1931.5726855408925</v>
      </c>
      <c r="H99">
        <f t="shared" si="225"/>
        <v>1805.7802120918529</v>
      </c>
      <c r="I99">
        <f t="shared" si="225"/>
        <v>1867.1971255253011</v>
      </c>
      <c r="J99">
        <f t="shared" si="225"/>
        <v>2134.8918237453663</v>
      </c>
      <c r="K99">
        <f t="shared" si="225"/>
        <v>2012.8905561212518</v>
      </c>
      <c r="L99">
        <f t="shared" si="225"/>
        <v>1909.4588165863522</v>
      </c>
      <c r="M99">
        <f t="shared" si="225"/>
        <v>1811.54797443144</v>
      </c>
      <c r="N99">
        <f t="shared" si="225"/>
        <v>1889.6726423006169</v>
      </c>
      <c r="O99">
        <f t="shared" si="225"/>
        <v>1940.9642984314207</v>
      </c>
      <c r="P99">
        <f t="shared" si="225"/>
        <v>2096.657607556745</v>
      </c>
      <c r="Q99">
        <f t="shared" si="225"/>
        <v>2090.3737186035291</v>
      </c>
      <c r="R99">
        <f t="shared" si="225"/>
        <v>2151.9544910492323</v>
      </c>
      <c r="S99">
        <f t="shared" si="225"/>
        <v>2049.7360864321095</v>
      </c>
      <c r="T99">
        <f t="shared" si="225"/>
        <v>2031.356088</v>
      </c>
      <c r="U99">
        <f t="shared" si="225"/>
        <v>1979.0971174863726</v>
      </c>
      <c r="V99">
        <f t="shared" si="225"/>
        <v>1913.347390803626</v>
      </c>
      <c r="W99">
        <f t="shared" si="225"/>
        <v>1637.7794846195036</v>
      </c>
      <c r="X99">
        <f t="shared" si="225"/>
        <v>1629.9591760000001</v>
      </c>
      <c r="Y99">
        <f t="shared" si="225"/>
        <v>1474.9035192685992</v>
      </c>
      <c r="Z99">
        <f t="shared" si="225"/>
        <v>1433.4622576077199</v>
      </c>
      <c r="AA99">
        <f t="shared" si="225"/>
        <v>1406.9952406132331</v>
      </c>
      <c r="AB99">
        <f t="shared" si="225"/>
        <v>1285.6831</v>
      </c>
      <c r="AC99">
        <f t="shared" si="225"/>
        <v>1375.7207200545015</v>
      </c>
      <c r="AD99">
        <f t="shared" si="225"/>
        <v>1420.8650091404038</v>
      </c>
      <c r="AE99">
        <f t="shared" si="214"/>
        <v>1083.9834985167681</v>
      </c>
      <c r="AF99">
        <f t="shared" si="214"/>
        <v>1255</v>
      </c>
      <c r="AG99">
        <f t="shared" ref="AG99:AJ99" si="226">AG61</f>
        <v>1445.9799984999161</v>
      </c>
      <c r="AH99">
        <f t="shared" si="226"/>
        <v>1408.1293295618261</v>
      </c>
      <c r="AI99">
        <f t="shared" si="226"/>
        <v>1292.5838548497866</v>
      </c>
      <c r="AJ99">
        <f t="shared" si="226"/>
        <v>1251</v>
      </c>
      <c r="AK99">
        <f t="shared" ref="AK99:AM99" si="227">AK61</f>
        <v>1224.0493553581957</v>
      </c>
      <c r="AL99">
        <f t="shared" si="227"/>
        <v>1025.5862107176526</v>
      </c>
      <c r="AM99">
        <f t="shared" si="227"/>
        <v>1023.2703637598183</v>
      </c>
      <c r="BJ99">
        <f t="shared" si="166"/>
        <v>2002</v>
      </c>
      <c r="BK99">
        <f t="shared" si="167"/>
        <v>12761.959299600001</v>
      </c>
      <c r="BL99">
        <f t="shared" si="167"/>
        <v>671.68206840000073</v>
      </c>
      <c r="BM99">
        <f t="shared" si="172"/>
        <v>13433.641368000002</v>
      </c>
      <c r="BN99">
        <f t="shared" si="168"/>
        <v>20007.356</v>
      </c>
    </row>
    <row r="100" spans="6:113" x14ac:dyDescent="0.2">
      <c r="F100" t="str">
        <f t="shared" ref="F100:AD100" si="228">F62</f>
        <v>332</v>
      </c>
      <c r="G100">
        <f t="shared" si="228"/>
        <v>218.6220851003327</v>
      </c>
      <c r="H100">
        <f t="shared" si="228"/>
        <v>211.46793122626133</v>
      </c>
      <c r="I100">
        <f t="shared" si="228"/>
        <v>240.91997523927262</v>
      </c>
      <c r="J100">
        <f t="shared" si="228"/>
        <v>251.14969713900282</v>
      </c>
      <c r="K100">
        <f t="shared" si="228"/>
        <v>241.18277568856524</v>
      </c>
      <c r="L100">
        <f t="shared" si="228"/>
        <v>232.7480721271657</v>
      </c>
      <c r="M100">
        <f t="shared" si="228"/>
        <v>217.28105279356296</v>
      </c>
      <c r="N100">
        <f t="shared" si="228"/>
        <v>229.87900221393122</v>
      </c>
      <c r="O100">
        <f t="shared" si="228"/>
        <v>252.15796059187429</v>
      </c>
      <c r="P100">
        <f t="shared" si="228"/>
        <v>263.57968281835372</v>
      </c>
      <c r="Q100">
        <f t="shared" si="228"/>
        <v>266.52941665942734</v>
      </c>
      <c r="R100">
        <f t="shared" si="228"/>
        <v>266.15273924874344</v>
      </c>
      <c r="S100">
        <f t="shared" si="228"/>
        <v>267.76592061143197</v>
      </c>
      <c r="T100">
        <f t="shared" si="228"/>
        <v>265.28541200000001</v>
      </c>
      <c r="U100">
        <f t="shared" si="228"/>
        <v>273.29141435783782</v>
      </c>
      <c r="V100">
        <f t="shared" si="228"/>
        <v>275.42995232882038</v>
      </c>
      <c r="W100">
        <f t="shared" si="228"/>
        <v>262.49739365323751</v>
      </c>
      <c r="X100">
        <f t="shared" si="228"/>
        <v>226.21632399999999</v>
      </c>
      <c r="Y100">
        <f t="shared" si="228"/>
        <v>225.40183295182362</v>
      </c>
      <c r="Z100">
        <f t="shared" si="228"/>
        <v>253.25956503512833</v>
      </c>
      <c r="AA100">
        <f t="shared" si="228"/>
        <v>263.47269179298661</v>
      </c>
      <c r="AB100">
        <f t="shared" si="228"/>
        <v>253.81542000000002</v>
      </c>
      <c r="AC100">
        <f t="shared" si="228"/>
        <v>225.8247089281079</v>
      </c>
      <c r="AD100">
        <f t="shared" si="228"/>
        <v>225.90301651132506</v>
      </c>
      <c r="AE100">
        <f t="shared" si="214"/>
        <v>169.65054112606632</v>
      </c>
      <c r="AF100">
        <f t="shared" si="214"/>
        <v>174</v>
      </c>
      <c r="AG100">
        <f t="shared" ref="AG100:AJ100" si="229">AG62</f>
        <v>193.42814378888048</v>
      </c>
      <c r="AH100">
        <f t="shared" si="229"/>
        <v>186.00502457302662</v>
      </c>
      <c r="AI100">
        <f t="shared" si="229"/>
        <v>194.42770583294933</v>
      </c>
      <c r="AJ100">
        <f t="shared" si="229"/>
        <v>201</v>
      </c>
      <c r="AK100">
        <f t="shared" ref="AK100:AM100" si="230">AK62</f>
        <v>198.38108949403755</v>
      </c>
      <c r="AL100">
        <f t="shared" si="230"/>
        <v>192.24474079899031</v>
      </c>
      <c r="AM100">
        <f t="shared" si="230"/>
        <v>183.36103025354547</v>
      </c>
      <c r="BJ100">
        <f t="shared" si="166"/>
        <v>2003</v>
      </c>
      <c r="BK100">
        <f t="shared" si="167"/>
        <v>12487.659129350021</v>
      </c>
      <c r="BL100">
        <f t="shared" si="167"/>
        <v>634.19895271715302</v>
      </c>
      <c r="BM100">
        <f t="shared" si="172"/>
        <v>13121.858082067174</v>
      </c>
      <c r="BN100">
        <f t="shared" si="168"/>
        <v>19744.646000000001</v>
      </c>
    </row>
    <row r="101" spans="6:113" x14ac:dyDescent="0.2">
      <c r="BJ101">
        <f t="shared" si="166"/>
        <v>2004</v>
      </c>
      <c r="BK101">
        <f t="shared" si="167"/>
        <v>12629.439022579074</v>
      </c>
      <c r="BL101">
        <f t="shared" si="167"/>
        <v>633.11406484165559</v>
      </c>
      <c r="BM101">
        <f t="shared" si="172"/>
        <v>13262.553087420729</v>
      </c>
      <c r="BN101">
        <f t="shared" si="168"/>
        <v>20487.963</v>
      </c>
    </row>
    <row r="102" spans="6:113" x14ac:dyDescent="0.2">
      <c r="BJ102">
        <f t="shared" si="166"/>
        <v>2005</v>
      </c>
      <c r="BK102">
        <f t="shared" si="167"/>
        <v>12715.376337184738</v>
      </c>
      <c r="BL102">
        <f t="shared" si="167"/>
        <v>624.82321514870443</v>
      </c>
      <c r="BM102">
        <f t="shared" si="172"/>
        <v>13340.199552333443</v>
      </c>
      <c r="BN102">
        <f t="shared" si="168"/>
        <v>19472.252</v>
      </c>
    </row>
    <row r="103" spans="6:113" x14ac:dyDescent="0.2">
      <c r="BJ103">
        <f t="shared" si="166"/>
        <v>2006</v>
      </c>
      <c r="BK103">
        <f t="shared" si="167"/>
        <v>12165.306354200002</v>
      </c>
      <c r="BL103">
        <f t="shared" si="167"/>
        <v>640.2792818000006</v>
      </c>
      <c r="BM103">
        <f t="shared" si="172"/>
        <v>12805.585636000002</v>
      </c>
      <c r="BN103">
        <f t="shared" si="168"/>
        <v>19529.322</v>
      </c>
    </row>
    <row r="104" spans="6:113" x14ac:dyDescent="0.2">
      <c r="BJ104">
        <f t="shared" si="166"/>
        <v>2007</v>
      </c>
      <c r="BK104">
        <f t="shared" si="167"/>
        <v>12261.170244013378</v>
      </c>
      <c r="BL104">
        <f t="shared" si="167"/>
        <v>642.72247429334391</v>
      </c>
      <c r="BM104">
        <f t="shared" si="172"/>
        <v>12903.892718306721</v>
      </c>
      <c r="BN104">
        <f t="shared" si="168"/>
        <v>19326</v>
      </c>
    </row>
    <row r="105" spans="6:113" x14ac:dyDescent="0.2">
      <c r="BJ105">
        <f t="shared" si="166"/>
        <v>2008</v>
      </c>
      <c r="BK105">
        <f t="shared" si="167"/>
        <v>12113.078622910607</v>
      </c>
      <c r="BL105">
        <f t="shared" si="167"/>
        <v>603.98709390419538</v>
      </c>
      <c r="BM105">
        <f t="shared" si="172"/>
        <v>12717.065716814803</v>
      </c>
      <c r="BN105">
        <f t="shared" si="168"/>
        <v>18419.738000000001</v>
      </c>
    </row>
    <row r="106" spans="6:113" x14ac:dyDescent="0.2">
      <c r="BM106">
        <f>CORREL(BM85:BM105,BN85:BN105)</f>
        <v>0.87258149700360921</v>
      </c>
    </row>
    <row r="117" spans="6:39" x14ac:dyDescent="0.2">
      <c r="G117">
        <f t="shared" ref="G117:AD117" si="231">G74</f>
        <v>1985</v>
      </c>
      <c r="H117">
        <f t="shared" si="231"/>
        <v>1986</v>
      </c>
      <c r="I117">
        <f t="shared" si="231"/>
        <v>1987</v>
      </c>
      <c r="J117">
        <f t="shared" si="231"/>
        <v>1988</v>
      </c>
      <c r="K117">
        <f t="shared" si="231"/>
        <v>1989</v>
      </c>
      <c r="L117">
        <f t="shared" si="231"/>
        <v>1990</v>
      </c>
      <c r="M117">
        <f t="shared" si="231"/>
        <v>1991</v>
      </c>
      <c r="N117">
        <f t="shared" si="231"/>
        <v>1992</v>
      </c>
      <c r="O117">
        <f t="shared" si="231"/>
        <v>1993</v>
      </c>
      <c r="P117">
        <f t="shared" si="231"/>
        <v>1994</v>
      </c>
      <c r="Q117">
        <f t="shared" si="231"/>
        <v>1995</v>
      </c>
      <c r="R117">
        <f t="shared" si="231"/>
        <v>1996</v>
      </c>
      <c r="S117">
        <f t="shared" si="231"/>
        <v>1997</v>
      </c>
      <c r="T117">
        <f t="shared" si="231"/>
        <v>1998</v>
      </c>
      <c r="U117">
        <f t="shared" si="231"/>
        <v>1999</v>
      </c>
      <c r="V117">
        <f t="shared" si="231"/>
        <v>2000</v>
      </c>
      <c r="W117">
        <f t="shared" si="231"/>
        <v>2001</v>
      </c>
      <c r="X117">
        <f t="shared" si="231"/>
        <v>2002</v>
      </c>
      <c r="Y117">
        <f t="shared" si="231"/>
        <v>2003</v>
      </c>
      <c r="Z117">
        <f t="shared" si="231"/>
        <v>2004</v>
      </c>
      <c r="AA117">
        <f t="shared" si="231"/>
        <v>2005</v>
      </c>
      <c r="AB117">
        <f t="shared" si="231"/>
        <v>2006</v>
      </c>
      <c r="AC117">
        <f t="shared" si="231"/>
        <v>2007</v>
      </c>
      <c r="AD117">
        <f t="shared" si="231"/>
        <v>2008</v>
      </c>
      <c r="AE117">
        <f>AE74</f>
        <v>2009</v>
      </c>
      <c r="AF117">
        <f>AF74</f>
        <v>2010</v>
      </c>
      <c r="AG117">
        <f t="shared" ref="AG117:AJ117" si="232">AG74</f>
        <v>2011</v>
      </c>
      <c r="AH117">
        <f t="shared" si="232"/>
        <v>2012</v>
      </c>
      <c r="AI117">
        <f t="shared" si="232"/>
        <v>2013</v>
      </c>
      <c r="AJ117">
        <f t="shared" si="232"/>
        <v>2014</v>
      </c>
      <c r="AK117">
        <v>2015</v>
      </c>
      <c r="AL117">
        <v>2016</v>
      </c>
      <c r="AM117">
        <v>2917</v>
      </c>
    </row>
    <row r="118" spans="6:39" x14ac:dyDescent="0.2">
      <c r="F118" t="str">
        <f t="shared" ref="F118:AD118" si="233">F63</f>
        <v>333</v>
      </c>
      <c r="G118">
        <f t="shared" si="233"/>
        <v>118.55685257512636</v>
      </c>
      <c r="H118">
        <f t="shared" si="233"/>
        <v>116.98714978306386</v>
      </c>
      <c r="I118">
        <f t="shared" si="233"/>
        <v>132.05023472720444</v>
      </c>
      <c r="J118">
        <f t="shared" si="233"/>
        <v>138.88393804304263</v>
      </c>
      <c r="K118">
        <f t="shared" si="233"/>
        <v>132.91732711490641</v>
      </c>
      <c r="L118">
        <f t="shared" si="233"/>
        <v>128.97297637763342</v>
      </c>
      <c r="M118">
        <f t="shared" si="233"/>
        <v>113.47965946591772</v>
      </c>
      <c r="N118">
        <f t="shared" si="233"/>
        <v>110.70250083204449</v>
      </c>
      <c r="O118">
        <f t="shared" si="233"/>
        <v>109.43334905227904</v>
      </c>
      <c r="P118">
        <f t="shared" si="233"/>
        <v>112.92234511482371</v>
      </c>
      <c r="Q118">
        <f t="shared" si="233"/>
        <v>113.29739747524695</v>
      </c>
      <c r="R118">
        <f t="shared" si="233"/>
        <v>113.4502406130739</v>
      </c>
      <c r="S118">
        <f t="shared" si="233"/>
        <v>117.23713567672351</v>
      </c>
      <c r="T118">
        <f t="shared" si="233"/>
        <v>116.85666400000001</v>
      </c>
      <c r="U118">
        <f t="shared" si="233"/>
        <v>111.14191772589813</v>
      </c>
      <c r="V118">
        <f t="shared" si="233"/>
        <v>112.3236890404506</v>
      </c>
      <c r="W118">
        <f t="shared" si="233"/>
        <v>106.23843340074862</v>
      </c>
      <c r="X118">
        <f t="shared" si="233"/>
        <v>91.191044000000005</v>
      </c>
      <c r="Y118">
        <f t="shared" si="233"/>
        <v>85.205475557351576</v>
      </c>
      <c r="Z118">
        <f t="shared" si="233"/>
        <v>94.248781567234332</v>
      </c>
      <c r="AA118">
        <f t="shared" si="233"/>
        <v>95.608722533186722</v>
      </c>
      <c r="AB118">
        <f t="shared" si="233"/>
        <v>93.471671999999998</v>
      </c>
      <c r="AC118">
        <f t="shared" si="233"/>
        <v>94.334403800648914</v>
      </c>
      <c r="AD118">
        <f t="shared" si="233"/>
        <v>94.429918479184096</v>
      </c>
      <c r="AE118">
        <f t="shared" ref="AE118:AF121" si="234">AE63</f>
        <v>76.003760495764595</v>
      </c>
      <c r="AF118">
        <f t="shared" si="234"/>
        <v>78</v>
      </c>
      <c r="AG118">
        <f t="shared" ref="AG118:AJ118" si="235">AG63</f>
        <v>85.458880818563429</v>
      </c>
      <c r="AH118">
        <f t="shared" si="235"/>
        <v>81.030584847714223</v>
      </c>
      <c r="AI118">
        <f t="shared" si="235"/>
        <v>82.213031813224148</v>
      </c>
      <c r="AJ118">
        <f t="shared" si="235"/>
        <v>84</v>
      </c>
      <c r="AK118">
        <f t="shared" ref="AK118:AM118" si="236">AK63</f>
        <v>81.531501178894231</v>
      </c>
      <c r="AL118">
        <f t="shared" si="236"/>
        <v>80.273406572215322</v>
      </c>
      <c r="AM118">
        <f t="shared" si="236"/>
        <v>77.461951769105639</v>
      </c>
    </row>
    <row r="119" spans="6:39" x14ac:dyDescent="0.2">
      <c r="F119" t="str">
        <f t="shared" ref="F119:AD119" si="237">F64</f>
        <v>334</v>
      </c>
      <c r="G119">
        <f t="shared" si="237"/>
        <v>54.789455724294967</v>
      </c>
      <c r="H119">
        <f t="shared" si="237"/>
        <v>57.303111896000885</v>
      </c>
      <c r="I119">
        <f t="shared" si="237"/>
        <v>61.351387822089904</v>
      </c>
      <c r="J119">
        <f t="shared" si="237"/>
        <v>62.693189717341816</v>
      </c>
      <c r="K119">
        <f t="shared" si="237"/>
        <v>61.085707701967216</v>
      </c>
      <c r="L119">
        <f t="shared" si="237"/>
        <v>60.680320651913654</v>
      </c>
      <c r="M119">
        <f t="shared" si="237"/>
        <v>56.220714404637988</v>
      </c>
      <c r="N119">
        <f t="shared" si="237"/>
        <v>59.136342825767187</v>
      </c>
      <c r="O119">
        <f t="shared" si="237"/>
        <v>62.414538336240533</v>
      </c>
      <c r="P119">
        <f t="shared" si="237"/>
        <v>66.930484972733723</v>
      </c>
      <c r="Q119">
        <f t="shared" si="237"/>
        <v>67.095586301614247</v>
      </c>
      <c r="R119">
        <f t="shared" si="237"/>
        <v>67.556433090372835</v>
      </c>
      <c r="S119">
        <f t="shared" si="237"/>
        <v>68.545245680475773</v>
      </c>
      <c r="T119">
        <f t="shared" si="237"/>
        <v>67.813715999999999</v>
      </c>
      <c r="U119">
        <f t="shared" si="237"/>
        <v>68.034519531803099</v>
      </c>
      <c r="V119">
        <f t="shared" si="237"/>
        <v>76.501244355034032</v>
      </c>
      <c r="W119">
        <f t="shared" si="237"/>
        <v>76.93191460656567</v>
      </c>
      <c r="X119">
        <f t="shared" si="237"/>
        <v>69.142976000000004</v>
      </c>
      <c r="Y119">
        <f t="shared" si="237"/>
        <v>63.618858062254837</v>
      </c>
      <c r="Z119">
        <f t="shared" si="237"/>
        <v>59.320993032324388</v>
      </c>
      <c r="AA119">
        <f t="shared" si="237"/>
        <v>52.984473624325041</v>
      </c>
      <c r="AB119">
        <f t="shared" si="237"/>
        <v>47.139291999999998</v>
      </c>
      <c r="AC119">
        <f t="shared" si="237"/>
        <v>47.831654822291256</v>
      </c>
      <c r="AD119">
        <f t="shared" si="237"/>
        <v>48.676765381324309</v>
      </c>
      <c r="AE119">
        <f t="shared" si="234"/>
        <v>44.267491340198113</v>
      </c>
      <c r="AF119">
        <f t="shared" si="234"/>
        <v>43</v>
      </c>
      <c r="AG119">
        <f t="shared" ref="AG119:AJ119" si="238">AG64</f>
        <v>39.18390387793977</v>
      </c>
      <c r="AH119">
        <f t="shared" si="238"/>
        <v>53.598385805333585</v>
      </c>
      <c r="AI119">
        <f t="shared" si="238"/>
        <v>44.586580263967242</v>
      </c>
      <c r="AJ119">
        <f t="shared" si="238"/>
        <v>50</v>
      </c>
      <c r="AK119">
        <f t="shared" ref="AK119:AM119" si="239">AK64</f>
        <v>53.638764378992477</v>
      </c>
      <c r="AL119">
        <f t="shared" si="239"/>
        <v>54.963539197924007</v>
      </c>
      <c r="AM119">
        <f t="shared" si="239"/>
        <v>53.697786362207289</v>
      </c>
    </row>
    <row r="120" spans="6:39" x14ac:dyDescent="0.2">
      <c r="F120" t="str">
        <f t="shared" ref="F120:AD120" si="240">F65</f>
        <v>335</v>
      </c>
      <c r="G120">
        <f t="shared" si="240"/>
        <v>62.919467623803939</v>
      </c>
      <c r="H120">
        <f t="shared" si="240"/>
        <v>62.283777375903881</v>
      </c>
      <c r="I120">
        <f t="shared" si="240"/>
        <v>64.15706000876547</v>
      </c>
      <c r="J120">
        <f t="shared" si="240"/>
        <v>64.55717435203718</v>
      </c>
      <c r="K120">
        <f t="shared" si="240"/>
        <v>61.694103271764547</v>
      </c>
      <c r="L120">
        <f t="shared" si="240"/>
        <v>60.035246020404799</v>
      </c>
      <c r="M120">
        <f t="shared" si="240"/>
        <v>55.611292613491038</v>
      </c>
      <c r="N120">
        <f t="shared" si="240"/>
        <v>58.722096184269233</v>
      </c>
      <c r="O120">
        <f t="shared" si="240"/>
        <v>63.598151042354196</v>
      </c>
      <c r="P120">
        <f t="shared" si="240"/>
        <v>67.848599515192888</v>
      </c>
      <c r="Q120">
        <f t="shared" si="240"/>
        <v>66.661965507217573</v>
      </c>
      <c r="R120">
        <f t="shared" si="240"/>
        <v>64.493881405582243</v>
      </c>
      <c r="S120">
        <f t="shared" si="240"/>
        <v>64.384523139479242</v>
      </c>
      <c r="T120">
        <f t="shared" si="240"/>
        <v>60.671008</v>
      </c>
      <c r="U120">
        <f t="shared" si="240"/>
        <v>61.278694478968518</v>
      </c>
      <c r="V120">
        <f t="shared" si="240"/>
        <v>62.734981192081634</v>
      </c>
      <c r="W120">
        <f t="shared" si="240"/>
        <v>61.421876655289154</v>
      </c>
      <c r="X120">
        <f t="shared" si="240"/>
        <v>55.569788000000003</v>
      </c>
      <c r="Y120">
        <f t="shared" si="240"/>
        <v>50.484928017926073</v>
      </c>
      <c r="Z120">
        <f t="shared" si="240"/>
        <v>48.906279751259603</v>
      </c>
      <c r="AA120">
        <f t="shared" si="240"/>
        <v>46.84281218060395</v>
      </c>
      <c r="AB120">
        <f t="shared" si="240"/>
        <v>43.097796000000002</v>
      </c>
      <c r="AC120">
        <f t="shared" si="240"/>
        <v>45.159102734737374</v>
      </c>
      <c r="AD120">
        <f t="shared" si="240"/>
        <v>44.34297491597448</v>
      </c>
      <c r="AE120">
        <f t="shared" si="234"/>
        <v>35.887808772514582</v>
      </c>
      <c r="AF120">
        <f t="shared" si="234"/>
        <v>38</v>
      </c>
      <c r="AG120">
        <f t="shared" ref="AG120:AJ120" si="241">AG65</f>
        <v>40.364245616383492</v>
      </c>
      <c r="AH120">
        <f t="shared" si="241"/>
        <v>37.93210879610546</v>
      </c>
      <c r="AI120">
        <f t="shared" si="241"/>
        <v>33.77570078168521</v>
      </c>
      <c r="AJ120">
        <f t="shared" si="241"/>
        <v>31</v>
      </c>
      <c r="AK120">
        <f t="shared" ref="AK120:AM120" si="242">AK65</f>
        <v>30.984416407924904</v>
      </c>
      <c r="AL120">
        <f t="shared" si="242"/>
        <v>29.598730565476735</v>
      </c>
      <c r="AM120">
        <f t="shared" si="242"/>
        <v>27.128736999693942</v>
      </c>
    </row>
    <row r="121" spans="6:39" x14ac:dyDescent="0.2">
      <c r="F121" t="str">
        <f t="shared" ref="F121:AD121" si="243">F66</f>
        <v>336</v>
      </c>
      <c r="G121">
        <f t="shared" si="243"/>
        <v>234.98001273849101</v>
      </c>
      <c r="H121">
        <f t="shared" si="243"/>
        <v>233.49457897097713</v>
      </c>
      <c r="I121">
        <f t="shared" si="243"/>
        <v>239.65530302767775</v>
      </c>
      <c r="J121">
        <f t="shared" si="243"/>
        <v>254.78050349600764</v>
      </c>
      <c r="K121">
        <f t="shared" si="243"/>
        <v>250.35553411998833</v>
      </c>
      <c r="L121">
        <f t="shared" si="243"/>
        <v>250.25347105331275</v>
      </c>
      <c r="M121">
        <f t="shared" si="243"/>
        <v>244.13057132985355</v>
      </c>
      <c r="N121">
        <f t="shared" si="243"/>
        <v>252.15956298972819</v>
      </c>
      <c r="O121">
        <f t="shared" si="243"/>
        <v>266.15910279294047</v>
      </c>
      <c r="P121">
        <f t="shared" si="243"/>
        <v>260.23443301298028</v>
      </c>
      <c r="Q121">
        <f t="shared" si="243"/>
        <v>268.13385415129153</v>
      </c>
      <c r="R121">
        <f t="shared" si="243"/>
        <v>269.15888392998517</v>
      </c>
      <c r="S121">
        <f t="shared" si="243"/>
        <v>299.60200027902334</v>
      </c>
      <c r="T121">
        <f t="shared" si="243"/>
        <v>292.75512400000002</v>
      </c>
      <c r="U121">
        <f t="shared" si="243"/>
        <v>288.60804189539977</v>
      </c>
      <c r="V121">
        <f t="shared" si="243"/>
        <v>283.80950178623908</v>
      </c>
      <c r="W121">
        <f t="shared" si="243"/>
        <v>275.19572342939011</v>
      </c>
      <c r="X121">
        <f t="shared" si="243"/>
        <v>251.66670399999998</v>
      </c>
      <c r="Y121">
        <f t="shared" si="243"/>
        <v>251.87823010168896</v>
      </c>
      <c r="Z121">
        <f t="shared" si="243"/>
        <v>277.32354215323386</v>
      </c>
      <c r="AA121">
        <f t="shared" si="243"/>
        <v>288.06533817652706</v>
      </c>
      <c r="AB121">
        <f t="shared" si="243"/>
        <v>283.93937199999999</v>
      </c>
      <c r="AC121">
        <f t="shared" si="243"/>
        <v>259.44427704656505</v>
      </c>
      <c r="AD121">
        <f t="shared" si="243"/>
        <v>220.88103591216688</v>
      </c>
      <c r="AE121">
        <f t="shared" si="234"/>
        <v>147.5600612979587</v>
      </c>
      <c r="AF121">
        <f t="shared" si="234"/>
        <v>143</v>
      </c>
      <c r="AG121">
        <f t="shared" ref="AG121:AJ121" si="244">AG66</f>
        <v>160.71893682310198</v>
      </c>
      <c r="AH121">
        <f t="shared" si="244"/>
        <v>159.53612482859435</v>
      </c>
      <c r="AI121">
        <f t="shared" si="244"/>
        <v>159.6545724921302</v>
      </c>
      <c r="AJ121">
        <f t="shared" si="244"/>
        <v>164</v>
      </c>
      <c r="AK121">
        <f t="shared" ref="AK121:AM121" si="245">AK66</f>
        <v>171.28909795159873</v>
      </c>
      <c r="AL121">
        <f t="shared" si="245"/>
        <v>176.01164499656809</v>
      </c>
      <c r="AM121">
        <f t="shared" si="245"/>
        <v>164.14160553703283</v>
      </c>
    </row>
    <row r="148" spans="6:36" x14ac:dyDescent="0.2">
      <c r="G148">
        <f t="shared" ref="G148:AD148" si="246">G74</f>
        <v>1985</v>
      </c>
      <c r="H148">
        <f t="shared" si="246"/>
        <v>1986</v>
      </c>
      <c r="I148">
        <f t="shared" si="246"/>
        <v>1987</v>
      </c>
      <c r="J148">
        <f t="shared" si="246"/>
        <v>1988</v>
      </c>
      <c r="K148">
        <f t="shared" si="246"/>
        <v>1989</v>
      </c>
      <c r="L148">
        <f t="shared" si="246"/>
        <v>1990</v>
      </c>
      <c r="M148">
        <f t="shared" si="246"/>
        <v>1991</v>
      </c>
      <c r="N148">
        <f t="shared" si="246"/>
        <v>1992</v>
      </c>
      <c r="O148">
        <f t="shared" si="246"/>
        <v>1993</v>
      </c>
      <c r="P148">
        <f t="shared" si="246"/>
        <v>1994</v>
      </c>
      <c r="Q148">
        <f t="shared" si="246"/>
        <v>1995</v>
      </c>
      <c r="R148">
        <f t="shared" si="246"/>
        <v>1996</v>
      </c>
      <c r="S148">
        <f t="shared" si="246"/>
        <v>1997</v>
      </c>
      <c r="T148">
        <f t="shared" si="246"/>
        <v>1998</v>
      </c>
      <c r="U148">
        <f t="shared" si="246"/>
        <v>1999</v>
      </c>
      <c r="V148">
        <f t="shared" si="246"/>
        <v>2000</v>
      </c>
      <c r="W148">
        <f t="shared" si="246"/>
        <v>2001</v>
      </c>
      <c r="X148">
        <f t="shared" si="246"/>
        <v>2002</v>
      </c>
      <c r="Y148">
        <f t="shared" si="246"/>
        <v>2003</v>
      </c>
      <c r="Z148">
        <f t="shared" si="246"/>
        <v>2004</v>
      </c>
      <c r="AA148">
        <f t="shared" si="246"/>
        <v>2005</v>
      </c>
      <c r="AB148">
        <f t="shared" si="246"/>
        <v>2006</v>
      </c>
      <c r="AC148">
        <f t="shared" si="246"/>
        <v>2007</v>
      </c>
      <c r="AD148">
        <f t="shared" si="246"/>
        <v>2008</v>
      </c>
      <c r="AE148">
        <f>AE74</f>
        <v>2009</v>
      </c>
      <c r="AF148">
        <f>AF74</f>
        <v>2010</v>
      </c>
      <c r="AG148">
        <f t="shared" ref="AG148:AJ148" si="247">AG74</f>
        <v>2011</v>
      </c>
      <c r="AH148">
        <f t="shared" si="247"/>
        <v>2012</v>
      </c>
      <c r="AI148">
        <f t="shared" si="247"/>
        <v>2013</v>
      </c>
      <c r="AJ148">
        <f t="shared" si="247"/>
        <v>2014</v>
      </c>
    </row>
    <row r="149" spans="6:36" x14ac:dyDescent="0.2">
      <c r="F149" t="str">
        <f t="shared" ref="F149:AD149" si="248">F67</f>
        <v>337</v>
      </c>
      <c r="G149">
        <f t="shared" si="248"/>
        <v>37.383822846973821</v>
      </c>
      <c r="H149">
        <f t="shared" si="248"/>
        <v>37.443558459499911</v>
      </c>
      <c r="I149">
        <f t="shared" si="248"/>
        <v>44.134979818462696</v>
      </c>
      <c r="J149">
        <f t="shared" si="248"/>
        <v>48.640156995919362</v>
      </c>
      <c r="K149">
        <f t="shared" si="248"/>
        <v>51.878254348091929</v>
      </c>
      <c r="L149">
        <f t="shared" si="248"/>
        <v>54.223695770453325</v>
      </c>
      <c r="M149">
        <f t="shared" si="248"/>
        <v>55.8843501953478</v>
      </c>
      <c r="N149">
        <f t="shared" si="248"/>
        <v>53.610241526416303</v>
      </c>
      <c r="O149">
        <f t="shared" si="248"/>
        <v>53.538120715934923</v>
      </c>
      <c r="P149">
        <f t="shared" si="248"/>
        <v>47.300771088826892</v>
      </c>
      <c r="Q149">
        <f t="shared" si="248"/>
        <v>49.933962080087383</v>
      </c>
      <c r="R149">
        <f t="shared" si="248"/>
        <v>51.03943583794306</v>
      </c>
      <c r="S149">
        <f t="shared" si="248"/>
        <v>57.492608473251913</v>
      </c>
      <c r="T149">
        <f t="shared" si="248"/>
        <v>58.499848</v>
      </c>
      <c r="U149">
        <f t="shared" si="248"/>
        <v>53.713217938449027</v>
      </c>
      <c r="V149">
        <f t="shared" si="248"/>
        <v>51.636294349193435</v>
      </c>
      <c r="W149">
        <f t="shared" si="248"/>
        <v>44.281857261978708</v>
      </c>
      <c r="X149">
        <f t="shared" si="248"/>
        <v>38.904455999999996</v>
      </c>
      <c r="Y149">
        <f t="shared" si="248"/>
        <v>35.141046297568252</v>
      </c>
      <c r="Z149">
        <f t="shared" si="248"/>
        <v>37.586736455066877</v>
      </c>
      <c r="AA149">
        <f t="shared" si="248"/>
        <v>33.037018769628489</v>
      </c>
      <c r="AB149">
        <f t="shared" si="248"/>
        <v>28.391231999999999</v>
      </c>
      <c r="AC149">
        <f t="shared" si="248"/>
        <v>26.126543559878453</v>
      </c>
      <c r="AD149">
        <f t="shared" si="248"/>
        <v>25.182564091959538</v>
      </c>
      <c r="AE149">
        <f>AE67</f>
        <v>18.959175048440578</v>
      </c>
      <c r="AF149">
        <f>AF67</f>
        <v>19</v>
      </c>
      <c r="AG149">
        <f t="shared" ref="AG149:AJ149" si="249">AG67</f>
        <v>19.042697726452193</v>
      </c>
      <c r="AH149">
        <f t="shared" si="249"/>
        <v>18.112553964096406</v>
      </c>
      <c r="AI149">
        <f t="shared" si="249"/>
        <v>19.463019993779522</v>
      </c>
      <c r="AJ149">
        <f t="shared" si="249"/>
        <v>20</v>
      </c>
    </row>
    <row r="150" spans="6:36" x14ac:dyDescent="0.2">
      <c r="F150" t="str">
        <f t="shared" ref="F150:AD150" si="250">F68</f>
        <v>339</v>
      </c>
      <c r="G150">
        <f t="shared" si="250"/>
        <v>33.863505680901589</v>
      </c>
      <c r="H150">
        <f t="shared" si="250"/>
        <v>34.19538370920494</v>
      </c>
      <c r="I150">
        <f t="shared" si="250"/>
        <v>44.247956661323812</v>
      </c>
      <c r="J150">
        <f t="shared" si="250"/>
        <v>45.434393503358493</v>
      </c>
      <c r="K150">
        <f t="shared" si="250"/>
        <v>42.437431591215379</v>
      </c>
      <c r="L150">
        <f t="shared" si="250"/>
        <v>41.765597208998628</v>
      </c>
      <c r="M150">
        <f t="shared" si="250"/>
        <v>34.793804965135031</v>
      </c>
      <c r="N150">
        <f t="shared" si="250"/>
        <v>38.559674523708956</v>
      </c>
      <c r="O150">
        <f t="shared" si="250"/>
        <v>44.932421712612715</v>
      </c>
      <c r="P150">
        <f t="shared" si="250"/>
        <v>48.376910834473634</v>
      </c>
      <c r="Q150">
        <f t="shared" si="250"/>
        <v>49.815836342825335</v>
      </c>
      <c r="R150">
        <f t="shared" si="250"/>
        <v>48.603520435196003</v>
      </c>
      <c r="S150">
        <f t="shared" si="250"/>
        <v>48.207720360170626</v>
      </c>
      <c r="T150">
        <f t="shared" si="250"/>
        <v>47.700868</v>
      </c>
      <c r="U150">
        <f t="shared" si="250"/>
        <v>44.144083628013298</v>
      </c>
      <c r="V150">
        <f t="shared" si="250"/>
        <v>43.160736797831376</v>
      </c>
      <c r="W150">
        <f t="shared" si="250"/>
        <v>40.871228778204937</v>
      </c>
      <c r="X150">
        <f t="shared" si="250"/>
        <v>35.603912000000001</v>
      </c>
      <c r="Y150">
        <f t="shared" si="250"/>
        <v>34.156235730009286</v>
      </c>
      <c r="Z150">
        <f t="shared" si="250"/>
        <v>37.943434675810046</v>
      </c>
      <c r="AA150">
        <f t="shared" si="250"/>
        <v>35.952347860876394</v>
      </c>
      <c r="AB150">
        <f t="shared" si="250"/>
        <v>32.982075999999999</v>
      </c>
      <c r="AC150">
        <f t="shared" si="250"/>
        <v>27.709583283086388</v>
      </c>
      <c r="AD150">
        <f t="shared" si="250"/>
        <v>24.907738048183688</v>
      </c>
      <c r="AE150">
        <f>AE68</f>
        <v>19.310576591921215</v>
      </c>
      <c r="AF150">
        <f>AF68</f>
        <v>17</v>
      </c>
      <c r="AG150">
        <f t="shared" ref="AG150:AJ150" si="251">AG68</f>
        <v>20.722780873843412</v>
      </c>
      <c r="AH150">
        <f t="shared" si="251"/>
        <v>21.080916738078123</v>
      </c>
      <c r="AI150">
        <f t="shared" si="251"/>
        <v>25.588746730337991</v>
      </c>
      <c r="AJ150">
        <f t="shared" si="251"/>
        <v>28</v>
      </c>
    </row>
  </sheetData>
  <phoneticPr fontId="9" type="noConversion"/>
  <pageMargins left="0.75" right="0.75" top="1" bottom="1" header="0.5" footer="0.5"/>
  <pageSetup orientation="portrait"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129"/>
  <sheetViews>
    <sheetView topLeftCell="AY36" workbookViewId="0">
      <selection activeCell="AY63" sqref="AY63"/>
    </sheetView>
  </sheetViews>
  <sheetFormatPr defaultRowHeight="12.75" x14ac:dyDescent="0.2"/>
  <cols>
    <col min="6" max="13" width="11.7109375" customWidth="1"/>
    <col min="14" max="14" width="10.28515625" customWidth="1"/>
    <col min="67" max="67" width="11.7109375" customWidth="1"/>
    <col min="89" max="89" width="12.5703125" customWidth="1"/>
  </cols>
  <sheetData>
    <row r="1" spans="1:91" x14ac:dyDescent="0.2">
      <c r="A1" t="s">
        <v>261</v>
      </c>
    </row>
    <row r="3" spans="1:91" x14ac:dyDescent="0.2">
      <c r="BQ3" t="s">
        <v>135</v>
      </c>
    </row>
    <row r="6" spans="1:91" x14ac:dyDescent="0.2">
      <c r="G6" s="67" t="s">
        <v>413</v>
      </c>
      <c r="H6" s="68"/>
      <c r="I6" s="68"/>
      <c r="J6" s="68"/>
      <c r="K6" s="68"/>
      <c r="L6" s="68"/>
      <c r="M6" s="68"/>
      <c r="N6" s="68"/>
      <c r="O6" s="68"/>
      <c r="P6" s="68"/>
      <c r="Q6" s="68"/>
      <c r="R6" s="68"/>
      <c r="S6" s="68"/>
      <c r="T6" s="68"/>
      <c r="U6" s="68"/>
      <c r="V6" s="68"/>
      <c r="W6" s="31"/>
      <c r="X6" t="s">
        <v>120</v>
      </c>
      <c r="AC6" s="52" t="s">
        <v>258</v>
      </c>
    </row>
    <row r="7" spans="1:91" x14ac:dyDescent="0.2">
      <c r="G7">
        <v>1970</v>
      </c>
      <c r="H7">
        <v>1971</v>
      </c>
      <c r="I7">
        <v>1972</v>
      </c>
      <c r="J7">
        <v>1973</v>
      </c>
      <c r="K7">
        <v>1974</v>
      </c>
      <c r="L7">
        <v>1975</v>
      </c>
      <c r="M7">
        <v>1976</v>
      </c>
      <c r="N7">
        <v>1977</v>
      </c>
      <c r="O7">
        <v>1978</v>
      </c>
      <c r="P7">
        <v>1979</v>
      </c>
      <c r="Q7">
        <v>1980</v>
      </c>
      <c r="R7">
        <v>1981</v>
      </c>
      <c r="S7">
        <v>1982</v>
      </c>
      <c r="T7">
        <v>1983</v>
      </c>
      <c r="U7">
        <v>1984</v>
      </c>
      <c r="V7">
        <v>1985</v>
      </c>
      <c r="Z7">
        <v>1985</v>
      </c>
      <c r="AA7">
        <v>1986</v>
      </c>
      <c r="AB7">
        <v>1987</v>
      </c>
      <c r="AC7">
        <v>1988</v>
      </c>
      <c r="AD7">
        <f t="shared" ref="AD7:AV7" si="0">AC7+1</f>
        <v>1989</v>
      </c>
      <c r="AE7">
        <f t="shared" si="0"/>
        <v>1990</v>
      </c>
      <c r="AF7">
        <f t="shared" si="0"/>
        <v>1991</v>
      </c>
      <c r="AG7">
        <f t="shared" si="0"/>
        <v>1992</v>
      </c>
      <c r="AH7">
        <f t="shared" si="0"/>
        <v>1993</v>
      </c>
      <c r="AI7" s="3">
        <f t="shared" si="0"/>
        <v>1994</v>
      </c>
      <c r="AJ7">
        <f t="shared" si="0"/>
        <v>1995</v>
      </c>
      <c r="AK7">
        <f t="shared" si="0"/>
        <v>1996</v>
      </c>
      <c r="AL7">
        <f t="shared" si="0"/>
        <v>1997</v>
      </c>
      <c r="AM7" s="3">
        <f t="shared" si="0"/>
        <v>1998</v>
      </c>
      <c r="AN7">
        <f t="shared" si="0"/>
        <v>1999</v>
      </c>
      <c r="AO7">
        <f t="shared" si="0"/>
        <v>2000</v>
      </c>
      <c r="AP7">
        <f t="shared" si="0"/>
        <v>2001</v>
      </c>
      <c r="AQ7" s="63">
        <f t="shared" si="0"/>
        <v>2002</v>
      </c>
      <c r="AR7">
        <f t="shared" si="0"/>
        <v>2003</v>
      </c>
      <c r="AS7">
        <f t="shared" si="0"/>
        <v>2004</v>
      </c>
      <c r="AT7">
        <f t="shared" si="0"/>
        <v>2005</v>
      </c>
      <c r="AU7" s="63">
        <f t="shared" si="0"/>
        <v>2006</v>
      </c>
      <c r="AV7">
        <f t="shared" si="0"/>
        <v>2007</v>
      </c>
      <c r="AW7">
        <f>AV7+1</f>
        <v>2008</v>
      </c>
      <c r="AX7">
        <f>AW7+1</f>
        <v>2009</v>
      </c>
      <c r="AY7">
        <f>AX7+1</f>
        <v>2010</v>
      </c>
      <c r="AZ7">
        <f>AY7+1</f>
        <v>2011</v>
      </c>
      <c r="BA7">
        <f t="shared" ref="BA7:BC7" si="1">AZ7+1</f>
        <v>2012</v>
      </c>
      <c r="BB7">
        <f t="shared" si="1"/>
        <v>2013</v>
      </c>
      <c r="BC7">
        <f t="shared" si="1"/>
        <v>2014</v>
      </c>
      <c r="BD7">
        <v>2015</v>
      </c>
      <c r="BE7">
        <v>2016</v>
      </c>
      <c r="BF7">
        <v>2017</v>
      </c>
      <c r="BQ7" s="52" t="s">
        <v>457</v>
      </c>
    </row>
    <row r="8" spans="1:91" x14ac:dyDescent="0.2">
      <c r="F8" t="s">
        <v>12</v>
      </c>
      <c r="G8" s="66">
        <f>fallhap3b!X189</f>
        <v>882.41100000000006</v>
      </c>
      <c r="H8" s="66">
        <f>fallhap3b!Y189</f>
        <v>896.35400000000004</v>
      </c>
      <c r="I8" s="66">
        <f>fallhap3b!Z189</f>
        <v>889.75599999999997</v>
      </c>
      <c r="J8" s="66">
        <f>fallhap3b!AA189</f>
        <v>863.04500000000007</v>
      </c>
      <c r="K8" s="66">
        <f>fallhap3b!AB189</f>
        <v>788.71900000000005</v>
      </c>
      <c r="L8" s="66">
        <f>fallhap3b!AC189</f>
        <v>791.38300000000004</v>
      </c>
      <c r="M8" s="66">
        <f>fallhap3b!AD189</f>
        <v>795.08199999999999</v>
      </c>
      <c r="N8" s="66">
        <f>fallhap3b!AE189</f>
        <v>803.29600000000005</v>
      </c>
      <c r="O8" s="66">
        <f>fallhap3b!AF189</f>
        <v>826.99199999999996</v>
      </c>
      <c r="P8" s="66">
        <f>fallhap3b!AG189</f>
        <v>798.23899999999992</v>
      </c>
      <c r="Q8" s="66">
        <f>fallhap3b!AH189</f>
        <v>793.90499999999997</v>
      </c>
      <c r="R8" s="66">
        <f>fallhap3b!AI189</f>
        <v>750.38799999999992</v>
      </c>
      <c r="S8" s="66">
        <f>fallhap3b!AJ189</f>
        <v>767.68</v>
      </c>
      <c r="T8" s="66">
        <f>fallhap3b!AK189</f>
        <v>797.24399999999991</v>
      </c>
      <c r="U8" s="66">
        <f>fallhap3b!AL189</f>
        <v>791.21399999999994</v>
      </c>
      <c r="V8" s="66">
        <f>fallhap3b!AM189</f>
        <v>700.952</v>
      </c>
      <c r="W8" s="71"/>
      <c r="X8" s="38">
        <f t="shared" ref="X8:X25" si="2">Z8/V8</f>
        <v>1.1618615598362938</v>
      </c>
      <c r="Z8" s="7">
        <f>MECS_Annual_Fuel2!CB80</f>
        <v>814.40918409036976</v>
      </c>
      <c r="AA8" s="7">
        <f>MECS_Annual_Fuel2!CC80</f>
        <v>851.19749953824692</v>
      </c>
      <c r="AB8" s="7">
        <f>MECS_Annual_Fuel2!CD80</f>
        <v>833.51038838632076</v>
      </c>
      <c r="AC8" s="7">
        <f>MECS_Annual_Fuel2!CE80</f>
        <v>851.12053122624513</v>
      </c>
      <c r="AD8" s="7">
        <f>MECS_Annual_Fuel2!CF80</f>
        <v>851.8988327684732</v>
      </c>
      <c r="AE8" s="7">
        <f>MECS_Annual_Fuel2!CG80</f>
        <v>801.85853040559095</v>
      </c>
      <c r="AF8" s="7">
        <f>MECS_Annual_Fuel2!CH80</f>
        <v>809.67414956814787</v>
      </c>
      <c r="AG8" s="7">
        <f>MECS_Annual_Fuel2!CI80</f>
        <v>863.70158393200757</v>
      </c>
      <c r="AH8" s="7">
        <f>MECS_Annual_Fuel2!CJ80</f>
        <v>926.75369383250984</v>
      </c>
      <c r="AI8" s="7">
        <f>MECS_Annual_Fuel2!CK80</f>
        <v>1008.5825527109854</v>
      </c>
      <c r="AJ8" s="7">
        <f>MECS_Annual_Fuel2!CL80</f>
        <v>996.91523388203518</v>
      </c>
      <c r="AK8" s="7">
        <f>MECS_Annual_Fuel2!CM80</f>
        <v>865.22738818560777</v>
      </c>
      <c r="AL8" s="7">
        <f>MECS_Annual_Fuel2!CN80</f>
        <v>867.68525811561415</v>
      </c>
      <c r="AM8" s="7">
        <f>MECS_Annual_Fuel2!CO80</f>
        <v>914.596452</v>
      </c>
      <c r="AN8" s="7">
        <f>MECS_Annual_Fuel2!CP80</f>
        <v>935.17439841307237</v>
      </c>
      <c r="AO8" s="7">
        <f>MECS_Annual_Fuel2!CQ80</f>
        <v>890.52621269592521</v>
      </c>
      <c r="AP8" s="7">
        <f>MECS_Annual_Fuel2!CR80</f>
        <v>981.79189817683255</v>
      </c>
      <c r="AQ8" s="7">
        <f>MECS_Annual_Fuel2!CS80</f>
        <v>963.55408</v>
      </c>
      <c r="AR8" s="7">
        <f>MECS_Annual_Fuel2!CT80</f>
        <v>908.1512310074819</v>
      </c>
      <c r="AS8" s="7">
        <f>MECS_Annual_Fuel2!CU80</f>
        <v>876.87404509058865</v>
      </c>
      <c r="AT8" s="7">
        <f>MECS_Annual_Fuel2!CV80</f>
        <v>881.92508034163961</v>
      </c>
      <c r="AU8" s="7">
        <f>MECS_Annual_Fuel2!CW80</f>
        <v>1014.1992240000001</v>
      </c>
      <c r="AV8" s="7">
        <f>MECS_Annual_Fuel2!CX80</f>
        <v>1017.3089008569175</v>
      </c>
      <c r="AW8" s="7">
        <f>MECS_Annual_Fuel2!CY80</f>
        <v>913.55290679421876</v>
      </c>
      <c r="AX8" s="7">
        <f>MECS_Annual_Fuel2!CZ80</f>
        <v>1082.0437976266057</v>
      </c>
      <c r="AY8" s="7">
        <f>MECS_Annual_Fuel2!DA80</f>
        <v>958</v>
      </c>
      <c r="AZ8" s="7">
        <f>MECS_Annual_Fuel2!DB80</f>
        <v>962.5869918448409</v>
      </c>
      <c r="BA8" s="7">
        <f>MECS_Annual_Fuel2!DC80</f>
        <v>905.23015078882304</v>
      </c>
      <c r="BB8" s="7">
        <f>MECS_Annual_Fuel2!DD80</f>
        <v>938.49143969789179</v>
      </c>
      <c r="BC8" s="7">
        <f>MECS_Annual_Fuel2!DE80</f>
        <v>929</v>
      </c>
      <c r="BD8" s="7">
        <f>MECS_Annual_Fuel2!DF80</f>
        <v>1030.630146776351</v>
      </c>
      <c r="BE8" s="7">
        <f>MECS_Annual_Fuel2!DG80</f>
        <v>1061.6998274548725</v>
      </c>
      <c r="BF8" s="7">
        <f>MECS_Annual_Fuel2!DH80</f>
        <v>971.69780095161491</v>
      </c>
    </row>
    <row r="9" spans="1:91" x14ac:dyDescent="0.2">
      <c r="F9" t="s">
        <v>13</v>
      </c>
      <c r="G9" s="66">
        <f>fallhap3b!X190</f>
        <v>254.73499999999999</v>
      </c>
      <c r="H9" s="66">
        <f>fallhap3b!Y190</f>
        <v>271.54899999999998</v>
      </c>
      <c r="I9" s="66">
        <f>fallhap3b!Z190</f>
        <v>273.87000000000006</v>
      </c>
      <c r="J9" s="66">
        <f>fallhap3b!AA190</f>
        <v>252.18700000000001</v>
      </c>
      <c r="K9" s="66">
        <f>fallhap3b!AB190</f>
        <v>220.44800000000001</v>
      </c>
      <c r="L9" s="66">
        <f>fallhap3b!AC190</f>
        <v>219.798</v>
      </c>
      <c r="M9" s="66">
        <f>fallhap3b!AD190</f>
        <v>230.82899999999998</v>
      </c>
      <c r="N9" s="66">
        <f>fallhap3b!AE190</f>
        <v>243.09300000000002</v>
      </c>
      <c r="O9" s="66">
        <f>fallhap3b!AF190</f>
        <v>238.75</v>
      </c>
      <c r="P9" s="66">
        <f>fallhap3b!AG190</f>
        <v>225.91599999999997</v>
      </c>
      <c r="Q9" s="66">
        <f>fallhap3b!AH190</f>
        <v>208.69900000000001</v>
      </c>
      <c r="R9" s="66">
        <f>fallhap3b!AI190</f>
        <v>203.875</v>
      </c>
      <c r="S9" s="66">
        <f>fallhap3b!AJ190</f>
        <v>180.465</v>
      </c>
      <c r="T9" s="66">
        <f>fallhap3b!AK190</f>
        <v>202.08600000000001</v>
      </c>
      <c r="U9" s="66">
        <f>fallhap3b!AL190</f>
        <v>198.92</v>
      </c>
      <c r="V9" s="66">
        <f>fallhap3b!AM190</f>
        <v>176.35299999999998</v>
      </c>
      <c r="W9" s="71"/>
      <c r="X9" s="38">
        <f t="shared" si="2"/>
        <v>0.88539125688959253</v>
      </c>
      <c r="Z9" s="7">
        <f>MECS_Annual_Fuel2!CB81</f>
        <v>156.1414043262503</v>
      </c>
      <c r="AA9" s="7">
        <f>MECS_Annual_Fuel2!CC81</f>
        <v>167.34431376858677</v>
      </c>
      <c r="AB9" s="7">
        <f>MECS_Annual_Fuel2!CD81</f>
        <v>172.60133796131427</v>
      </c>
      <c r="AC9" s="7">
        <f>MECS_Annual_Fuel2!CE81</f>
        <v>168.48905994885055</v>
      </c>
      <c r="AD9" s="7">
        <f>MECS_Annual_Fuel2!CF81</f>
        <v>167.44427557233792</v>
      </c>
      <c r="AE9" s="7">
        <f>MECS_Annual_Fuel2!CG81</f>
        <v>155.89053627343949</v>
      </c>
      <c r="AF9" s="7">
        <f>MECS_Annual_Fuel2!CH81</f>
        <v>167.22964134569051</v>
      </c>
      <c r="AG9" s="7">
        <f>MECS_Annual_Fuel2!CI81</f>
        <v>171.780636136151</v>
      </c>
      <c r="AH9" s="7">
        <f>MECS_Annual_Fuel2!CJ81</f>
        <v>179.66474753861871</v>
      </c>
      <c r="AI9" s="7">
        <f>MECS_Annual_Fuel2!CK81</f>
        <v>192.94392268146368</v>
      </c>
      <c r="AJ9" s="7">
        <f>MECS_Annual_Fuel2!CL81</f>
        <v>190.8904946076554</v>
      </c>
      <c r="AK9" s="7">
        <f>MECS_Annual_Fuel2!CM81</f>
        <v>167.09700979934172</v>
      </c>
      <c r="AL9" s="7">
        <f>MECS_Annual_Fuel2!CN81</f>
        <v>170.57022786370626</v>
      </c>
      <c r="AM9" s="7">
        <f>MECS_Annual_Fuel2!CO81</f>
        <v>183.883668</v>
      </c>
      <c r="AN9" s="7">
        <f>MECS_Annual_Fuel2!CP81</f>
        <v>187.31181548387343</v>
      </c>
      <c r="AO9" s="7">
        <f>MECS_Annual_Fuel2!CQ81</f>
        <v>156.99410743381722</v>
      </c>
      <c r="AP9" s="7">
        <f>MECS_Annual_Fuel2!CR81</f>
        <v>156.54886822367064</v>
      </c>
      <c r="AQ9" s="7">
        <f>MECS_Annual_Fuel2!CS81</f>
        <v>161.77534800000001</v>
      </c>
      <c r="AR9" s="7">
        <f>MECS_Annual_Fuel2!CT81</f>
        <v>144.82060676734446</v>
      </c>
      <c r="AS9" s="7">
        <f>MECS_Annual_Fuel2!CU81</f>
        <v>150.15509141889578</v>
      </c>
      <c r="AT9" s="7">
        <f>MECS_Annual_Fuel2!CV81</f>
        <v>157.5923565830285</v>
      </c>
      <c r="AU9" s="7">
        <f>MECS_Annual_Fuel2!CW81</f>
        <v>164.407712</v>
      </c>
      <c r="AV9" s="7">
        <f>MECS_Annual_Fuel2!CX81</f>
        <v>117.72476201119797</v>
      </c>
      <c r="AW9" s="7">
        <f>MECS_Annual_Fuel2!CY81</f>
        <v>100.10391940983209</v>
      </c>
      <c r="AX9" s="7">
        <f>MECS_Annual_Fuel2!CZ81</f>
        <v>92.386077520771678</v>
      </c>
      <c r="AY9" s="7">
        <f>MECS_Annual_Fuel2!DA81</f>
        <v>62</v>
      </c>
      <c r="AZ9" s="7">
        <f>MECS_Annual_Fuel2!DB81</f>
        <v>63.735355866562557</v>
      </c>
      <c r="BA9" s="7">
        <f>MECS_Annual_Fuel2!DC81</f>
        <v>65.232230776731996</v>
      </c>
      <c r="BB9" s="7">
        <f>MECS_Annual_Fuel2!DD81</f>
        <v>70.717952789685583</v>
      </c>
      <c r="BC9" s="7">
        <f>MECS_Annual_Fuel2!DE81</f>
        <v>72</v>
      </c>
      <c r="BD9" s="7">
        <f>MECS_Annual_Fuel2!DF81</f>
        <v>74.509049446669465</v>
      </c>
      <c r="BE9" s="7">
        <f>MECS_Annual_Fuel2!DG81</f>
        <v>78.338211968875697</v>
      </c>
      <c r="BF9" s="7">
        <f>MECS_Annual_Fuel2!DH81</f>
        <v>58.42197502449914</v>
      </c>
      <c r="BQ9" s="2" t="s">
        <v>12</v>
      </c>
      <c r="BR9" s="2" t="s">
        <v>13</v>
      </c>
      <c r="BS9" s="2" t="s">
        <v>14</v>
      </c>
      <c r="BT9">
        <v>321</v>
      </c>
      <c r="BU9">
        <v>322</v>
      </c>
      <c r="BV9">
        <v>323</v>
      </c>
      <c r="BW9">
        <v>324</v>
      </c>
      <c r="BX9">
        <v>325</v>
      </c>
      <c r="BY9">
        <v>326</v>
      </c>
      <c r="BZ9">
        <v>327</v>
      </c>
      <c r="CA9">
        <v>331</v>
      </c>
      <c r="CB9">
        <v>332</v>
      </c>
      <c r="CC9">
        <v>333</v>
      </c>
      <c r="CD9">
        <v>334</v>
      </c>
      <c r="CE9">
        <v>335</v>
      </c>
      <c r="CF9">
        <v>336</v>
      </c>
      <c r="CG9">
        <v>337</v>
      </c>
      <c r="CH9">
        <v>339</v>
      </c>
      <c r="CK9" s="52" t="s">
        <v>259</v>
      </c>
      <c r="CL9" s="52" t="s">
        <v>260</v>
      </c>
      <c r="CM9" s="52" t="s">
        <v>359</v>
      </c>
    </row>
    <row r="10" spans="1:91" x14ac:dyDescent="0.2">
      <c r="F10" t="s">
        <v>14</v>
      </c>
      <c r="G10" s="66">
        <f>fallhap3b!X191</f>
        <v>65.762</v>
      </c>
      <c r="H10" s="66">
        <f>fallhap3b!Y191</f>
        <v>62.195999999999998</v>
      </c>
      <c r="I10" s="66">
        <f>fallhap3b!Z191</f>
        <v>58.408000000000001</v>
      </c>
      <c r="J10" s="66">
        <f>fallhap3b!AA191</f>
        <v>49.652999999999999</v>
      </c>
      <c r="K10" s="66">
        <f>fallhap3b!AB191</f>
        <v>42.930999999999997</v>
      </c>
      <c r="L10" s="66">
        <f>fallhap3b!AC191</f>
        <v>41.317</v>
      </c>
      <c r="M10" s="66">
        <f>fallhap3b!AD191</f>
        <v>40.389999999999993</v>
      </c>
      <c r="N10" s="66">
        <f>fallhap3b!AE191</f>
        <v>44.045000000000002</v>
      </c>
      <c r="O10" s="66">
        <f>fallhap3b!AF191</f>
        <v>45.826999999999998</v>
      </c>
      <c r="P10" s="66">
        <f>fallhap3b!AG191</f>
        <v>41.187999999999995</v>
      </c>
      <c r="Q10" s="66">
        <f>fallhap3b!AH191</f>
        <v>40.210999999999999</v>
      </c>
      <c r="R10" s="66">
        <f>fallhap3b!AI191</f>
        <v>40.091999999999999</v>
      </c>
      <c r="S10" s="66">
        <f>fallhap3b!AJ191</f>
        <v>32.204000000000001</v>
      </c>
      <c r="T10" s="66">
        <f>fallhap3b!AK191</f>
        <v>35.009</v>
      </c>
      <c r="U10" s="66">
        <f>fallhap3b!AL191</f>
        <v>30.833999999999996</v>
      </c>
      <c r="V10" s="66">
        <f>fallhap3b!AM191</f>
        <v>26.388000000000002</v>
      </c>
      <c r="W10" s="71"/>
      <c r="X10" s="38">
        <f t="shared" si="2"/>
        <v>1.0561970296712695</v>
      </c>
      <c r="Z10" s="7">
        <f>MECS_Annual_Fuel2!CB82</f>
        <v>27.870927218965459</v>
      </c>
      <c r="AA10" s="7">
        <f>MECS_Annual_Fuel2!CC82</f>
        <v>38.210686463826796</v>
      </c>
      <c r="AB10" s="7">
        <f>MECS_Annual_Fuel2!CD82</f>
        <v>41.21594313846515</v>
      </c>
      <c r="AC10" s="7">
        <f>MECS_Annual_Fuel2!CE82</f>
        <v>46.203934666809843</v>
      </c>
      <c r="AD10" s="7">
        <f>MECS_Annual_Fuel2!CF82</f>
        <v>38.72494633334945</v>
      </c>
      <c r="AE10" s="7">
        <f>MECS_Annual_Fuel2!CG82</f>
        <v>34.234269572907131</v>
      </c>
      <c r="AF10" s="7">
        <f>MECS_Annual_Fuel2!CH82</f>
        <v>36.963147733447869</v>
      </c>
      <c r="AG10" s="7">
        <f>MECS_Annual_Fuel2!CI82</f>
        <v>37.95122991416855</v>
      </c>
      <c r="AH10" s="7">
        <f>MECS_Annual_Fuel2!CJ82</f>
        <v>38.969253979153493</v>
      </c>
      <c r="AI10" s="7">
        <f>MECS_Annual_Fuel2!CK82</f>
        <v>39.957336159874167</v>
      </c>
      <c r="AJ10" s="7">
        <f>MECS_Annual_Fuel2!CL82</f>
        <v>44.512636188125661</v>
      </c>
      <c r="AK10" s="7">
        <f>MECS_Annual_Fuel2!CM82</f>
        <v>36.045490006918435</v>
      </c>
      <c r="AL10" s="7">
        <f>MECS_Annual_Fuel2!CN82</f>
        <v>34.309579022565551</v>
      </c>
      <c r="AM10" s="7">
        <f>MECS_Annual_Fuel2!CO82</f>
        <v>35.487055999999995</v>
      </c>
      <c r="AN10" s="7">
        <f>MECS_Annual_Fuel2!CP82</f>
        <v>34.727399494976886</v>
      </c>
      <c r="AO10" s="7">
        <f>MECS_Annual_Fuel2!CQ82</f>
        <v>27.828729813053091</v>
      </c>
      <c r="AP10" s="7">
        <f>MECS_Annual_Fuel2!CR82</f>
        <v>25.821803000550606</v>
      </c>
      <c r="AQ10" s="7">
        <f>MECS_Annual_Fuel2!CS82</f>
        <v>22.314752000000002</v>
      </c>
      <c r="AR10" s="7">
        <f>MECS_Annual_Fuel2!CT82</f>
        <v>13.370253732879473</v>
      </c>
      <c r="AS10" s="7">
        <f>MECS_Annual_Fuel2!CU82</f>
        <v>12.950620915309582</v>
      </c>
      <c r="AT10" s="7">
        <f>MECS_Annual_Fuel2!CV82</f>
        <v>10.444249462603306</v>
      </c>
      <c r="AU10" s="7">
        <f>MECS_Annual_Fuel2!CW82</f>
        <v>8.7224880000000002</v>
      </c>
      <c r="AV10" s="7">
        <f>MECS_Annual_Fuel2!CX82</f>
        <v>5.5487247592447062</v>
      </c>
      <c r="AW10" s="7">
        <f>MECS_Annual_Fuel2!CY82</f>
        <v>2.9930445873252332</v>
      </c>
      <c r="AX10" s="7">
        <f>MECS_Annual_Fuel2!CZ82</f>
        <v>3.526210661636902</v>
      </c>
      <c r="AY10" s="7">
        <f>MECS_Annual_Fuel2!DA82</f>
        <v>3</v>
      </c>
      <c r="AZ10" s="7">
        <f>MECS_Annual_Fuel2!DB82</f>
        <v>3.4834106866991101</v>
      </c>
      <c r="BA10" s="7">
        <f>MECS_Annual_Fuel2!DC82</f>
        <v>2.8834010636912977</v>
      </c>
      <c r="BB10" s="7">
        <f>MECS_Annual_Fuel2!DD82</f>
        <v>2.9774098793298824</v>
      </c>
      <c r="BC10" s="7">
        <f>MECS_Annual_Fuel2!DE82</f>
        <v>3</v>
      </c>
      <c r="BD10" s="7">
        <f>MECS_Annual_Fuel2!DF82</f>
        <v>4.4320835988412783</v>
      </c>
      <c r="BE10" s="7">
        <f>MECS_Annual_Fuel2!DG82</f>
        <v>4.9647133073011736</v>
      </c>
      <c r="BF10" s="7">
        <f>MECS_Annual_Fuel2!DH82</f>
        <v>4.2770219585491782</v>
      </c>
      <c r="BP10">
        <v>1970</v>
      </c>
      <c r="BQ10" s="49">
        <f t="array" ref="BQ10:CH57">TRANSPOSE(G30:BB47)</f>
        <v>1025.2394208767039</v>
      </c>
      <c r="BR10" s="49">
        <v>225.54014182377034</v>
      </c>
      <c r="BS10" s="49">
        <v>69.457629065242031</v>
      </c>
      <c r="BT10" s="49">
        <v>233.1450846953831</v>
      </c>
      <c r="BU10" s="49">
        <v>1676.8293296070926</v>
      </c>
      <c r="BV10" s="49">
        <v>30.291028498334043</v>
      </c>
      <c r="BW10" s="49">
        <v>2792.6281494244427</v>
      </c>
      <c r="BX10" s="49">
        <v>2486.2734710772238</v>
      </c>
      <c r="BY10" s="49">
        <v>159.09274698292725</v>
      </c>
      <c r="BZ10" s="49">
        <v>1117.4103450383041</v>
      </c>
      <c r="CA10" s="49">
        <v>3864.937493867963</v>
      </c>
      <c r="CB10" s="49">
        <v>344.88659524895439</v>
      </c>
      <c r="CC10" s="49">
        <v>205.43169611777287</v>
      </c>
      <c r="CD10" s="49">
        <v>74.994206099761243</v>
      </c>
      <c r="CE10" s="49">
        <v>105.66084719365652</v>
      </c>
      <c r="CF10" s="49">
        <v>291.57455618133025</v>
      </c>
      <c r="CG10" s="49">
        <v>41.637418450355618</v>
      </c>
      <c r="CH10" s="49">
        <v>47.729569076801901</v>
      </c>
      <c r="CJ10">
        <f>BP10</f>
        <v>1970</v>
      </c>
      <c r="CK10" s="7">
        <f>SUM(BQ10:CH10)</f>
        <v>14792.759729326021</v>
      </c>
      <c r="CL10" s="44">
        <f>AER11_Table2.1d!U33*0.001</f>
        <v>22963.9</v>
      </c>
      <c r="CM10">
        <f>CK10/CL10</f>
        <v>0.64417454044504718</v>
      </c>
    </row>
    <row r="11" spans="1:91" x14ac:dyDescent="0.2">
      <c r="F11" t="s">
        <v>105</v>
      </c>
      <c r="G11" s="66">
        <f>fallhap3b!X192</f>
        <v>428.48932000000002</v>
      </c>
      <c r="H11" s="66">
        <f>fallhap3b!Y192</f>
        <v>420.42196000000001</v>
      </c>
      <c r="I11" s="66">
        <f>fallhap3b!Z192</f>
        <v>440.85692</v>
      </c>
      <c r="J11" s="66">
        <f>fallhap3b!AA192</f>
        <v>454.15356000000003</v>
      </c>
      <c r="K11" s="66">
        <f>fallhap3b!AB192</f>
        <v>434.34187999999995</v>
      </c>
      <c r="L11" s="66">
        <f>fallhap3b!AC192</f>
        <v>406.74900000000002</v>
      </c>
      <c r="M11" s="66">
        <f>fallhap3b!AD192</f>
        <v>439.50157999999999</v>
      </c>
      <c r="N11" s="66">
        <f>fallhap3b!AE192</f>
        <v>436.10784000000001</v>
      </c>
      <c r="O11" s="66">
        <f>fallhap3b!AF192</f>
        <v>475.66652000000005</v>
      </c>
      <c r="P11" s="66">
        <f>fallhap3b!AG192</f>
        <v>474.41897999999998</v>
      </c>
      <c r="Q11" s="66">
        <f>fallhap3b!AH192</f>
        <v>446.41254000000004</v>
      </c>
      <c r="R11" s="66">
        <f>fallhap3b!AI192</f>
        <v>442.26223999999996</v>
      </c>
      <c r="S11" s="66">
        <f>fallhap3b!AJ192</f>
        <v>386.00533999999999</v>
      </c>
      <c r="T11" s="66">
        <f>fallhap3b!AK192</f>
        <v>424.63278175496015</v>
      </c>
      <c r="U11" s="66">
        <f>fallhap3b!AL192</f>
        <v>447.97899762376233</v>
      </c>
      <c r="V11" s="66">
        <f>fallhap3b!AM192</f>
        <v>457.26071688311697</v>
      </c>
      <c r="W11" s="71"/>
      <c r="X11" s="38">
        <f t="shared" si="2"/>
        <v>0.54410944173680476</v>
      </c>
      <c r="Z11" s="7">
        <f>MECS_Annual_Fuel2!CB83</f>
        <v>248.79987339144392</v>
      </c>
      <c r="AA11" s="7">
        <f>MECS_Annual_Fuel2!CC83</f>
        <v>255.75096288820842</v>
      </c>
      <c r="AB11" s="7">
        <f>MECS_Annual_Fuel2!CD83</f>
        <v>293.32052036990052</v>
      </c>
      <c r="AC11" s="7">
        <f>MECS_Annual_Fuel2!CE83</f>
        <v>302.60197307912358</v>
      </c>
      <c r="AD11" s="7">
        <f>MECS_Annual_Fuel2!CF83</f>
        <v>314.98874210000514</v>
      </c>
      <c r="AE11" s="7">
        <f>MECS_Annual_Fuel2!CG83</f>
        <v>317.55370658139748</v>
      </c>
      <c r="AF11" s="7">
        <f>MECS_Annual_Fuel2!CH83</f>
        <v>314.83245355703338</v>
      </c>
      <c r="AG11" s="7">
        <f>MECS_Annual_Fuel2!CI83</f>
        <v>285.65263466533662</v>
      </c>
      <c r="AH11" s="7">
        <f>MECS_Annual_Fuel2!CJ83</f>
        <v>308.99770621726981</v>
      </c>
      <c r="AI11" s="7">
        <f>MECS_Annual_Fuel2!CK83</f>
        <v>319.45866435321039</v>
      </c>
      <c r="AJ11" s="7">
        <f>MECS_Annual_Fuel2!CL83</f>
        <v>373.11340884966961</v>
      </c>
      <c r="AK11" s="7">
        <f>MECS_Annual_Fuel2!CM83</f>
        <v>354.43765969546752</v>
      </c>
      <c r="AL11" s="7">
        <f>MECS_Annual_Fuel2!CN83</f>
        <v>351.22789070081427</v>
      </c>
      <c r="AM11" s="7">
        <f>MECS_Annual_Fuel2!CO83</f>
        <v>431.76796000000002</v>
      </c>
      <c r="AN11" s="7">
        <f>MECS_Annual_Fuel2!CP83</f>
        <v>456.65878470026882</v>
      </c>
      <c r="AO11" s="7">
        <f>MECS_Annual_Fuel2!CQ83</f>
        <v>395.38550253374592</v>
      </c>
      <c r="AP11" s="7">
        <f>MECS_Annual_Fuel2!CR83</f>
        <v>334.95065632387758</v>
      </c>
      <c r="AQ11" s="7">
        <f>MECS_Annual_Fuel2!CS83</f>
        <v>303.39918</v>
      </c>
      <c r="AR11" s="7">
        <f>MECS_Annual_Fuel2!CT83</f>
        <v>315.36572210850733</v>
      </c>
      <c r="AS11" s="7">
        <f>MECS_Annual_Fuel2!CU83</f>
        <v>334.05313526607807</v>
      </c>
      <c r="AT11" s="7">
        <f>MECS_Annual_Fuel2!CV83</f>
        <v>328.05195783490865</v>
      </c>
      <c r="AU11" s="7">
        <f>MECS_Annual_Fuel2!CW83</f>
        <v>353.821124</v>
      </c>
      <c r="AV11" s="7">
        <f>MECS_Annual_Fuel2!CX83</f>
        <v>384.72650075395597</v>
      </c>
      <c r="AW11" s="7">
        <f>MECS_Annual_Fuel2!CY83</f>
        <v>340.75137141804316</v>
      </c>
      <c r="AX11" s="7">
        <f>MECS_Annual_Fuel2!CZ83</f>
        <v>349.87643313649335</v>
      </c>
      <c r="AY11" s="7">
        <f>MECS_Annual_Fuel2!DA83</f>
        <v>418</v>
      </c>
      <c r="AZ11" s="7">
        <f>MECS_Annual_Fuel2!DB83</f>
        <v>344.71258871576003</v>
      </c>
      <c r="BA11" s="7">
        <f>MECS_Annual_Fuel2!DC83</f>
        <v>268.15711778672494</v>
      </c>
      <c r="BB11" s="7">
        <f>MECS_Annual_Fuel2!DD83</f>
        <v>299.38234805307519</v>
      </c>
      <c r="BC11" s="7">
        <f>MECS_Annual_Fuel2!DE83</f>
        <v>311</v>
      </c>
      <c r="BD11" s="7">
        <f>MECS_Annual_Fuel2!DF83</f>
        <v>386.26514793818404</v>
      </c>
      <c r="BE11" s="7">
        <f>MECS_Annual_Fuel2!DG83</f>
        <v>429.30426619607431</v>
      </c>
      <c r="BF11" s="7">
        <f>MECS_Annual_Fuel2!DH83</f>
        <v>458.23367249135623</v>
      </c>
      <c r="BP11">
        <v>1971</v>
      </c>
      <c r="BQ11" s="49">
        <v>1041.4392566055014</v>
      </c>
      <c r="BR11" s="49">
        <v>240.42711041711195</v>
      </c>
      <c r="BS11" s="49">
        <v>65.691230457434273</v>
      </c>
      <c r="BT11" s="49">
        <v>228.75555794949327</v>
      </c>
      <c r="BU11" s="49">
        <v>1774.5898107351686</v>
      </c>
      <c r="BV11" s="49">
        <v>28.981245210725596</v>
      </c>
      <c r="BW11" s="49">
        <v>2793.4219083077564</v>
      </c>
      <c r="BX11" s="49">
        <v>2562.1387413783464</v>
      </c>
      <c r="BY11" s="49">
        <v>174.40056907665885</v>
      </c>
      <c r="BZ11" s="49">
        <v>1169.4053021794657</v>
      </c>
      <c r="CA11" s="49">
        <v>3608.6021000310971</v>
      </c>
      <c r="CB11" s="49">
        <v>331.02849974109631</v>
      </c>
      <c r="CC11" s="49">
        <v>209.66272055006277</v>
      </c>
      <c r="CD11" s="49">
        <v>75.879990271664923</v>
      </c>
      <c r="CE11" s="49">
        <v>104.94400315600448</v>
      </c>
      <c r="CF11" s="49">
        <v>305.33717812676463</v>
      </c>
      <c r="CG11" s="49">
        <v>45.136137426316026</v>
      </c>
      <c r="CH11" s="49">
        <v>50.258813679382584</v>
      </c>
      <c r="CJ11">
        <f t="shared" ref="CJ11:CJ50" si="3">BP11</f>
        <v>1971</v>
      </c>
      <c r="CK11" s="7">
        <f t="shared" ref="CK11:CK50" si="4">SUM(BQ11:CH11)</f>
        <v>14810.100175300053</v>
      </c>
      <c r="CL11" s="44">
        <f>AER11_Table2.1d!U34*0.001</f>
        <v>22719.815999999999</v>
      </c>
      <c r="CM11">
        <f t="shared" ref="CM11:CM54" si="5">CK11/CL11</f>
        <v>0.65185827980737399</v>
      </c>
    </row>
    <row r="12" spans="1:91" x14ac:dyDescent="0.2">
      <c r="F12" t="s">
        <v>106</v>
      </c>
      <c r="G12" s="66">
        <f>fallhap3b!X193</f>
        <v>1839.306</v>
      </c>
      <c r="H12" s="66">
        <f>fallhap3b!Y193</f>
        <v>1946.539</v>
      </c>
      <c r="I12" s="66">
        <f>fallhap3b!Z193</f>
        <v>2036.461</v>
      </c>
      <c r="J12" s="66">
        <f>fallhap3b!AA193</f>
        <v>2000.1790000000001</v>
      </c>
      <c r="K12" s="66">
        <f>fallhap3b!AB193</f>
        <v>2019.8880000000001</v>
      </c>
      <c r="L12" s="66">
        <f>fallhap3b!AC193</f>
        <v>1859.2450000000001</v>
      </c>
      <c r="M12" s="66">
        <f>fallhap3b!AD193</f>
        <v>2033.7089999999998</v>
      </c>
      <c r="N12" s="66">
        <f>fallhap3b!AE193</f>
        <v>2087.9460000000004</v>
      </c>
      <c r="O12" s="66">
        <f>fallhap3b!AF193</f>
        <v>2147.0419999999999</v>
      </c>
      <c r="P12" s="66">
        <f>fallhap3b!AG193</f>
        <v>2142.8770000000004</v>
      </c>
      <c r="Q12" s="66">
        <f>fallhap3b!AH193</f>
        <v>2086.7080000000001</v>
      </c>
      <c r="R12" s="66">
        <f>fallhap3b!AI193</f>
        <v>2134.06</v>
      </c>
      <c r="S12" s="66">
        <f>fallhap3b!AJ193</f>
        <v>2024.623</v>
      </c>
      <c r="T12" s="66">
        <f>fallhap3b!AK193</f>
        <v>2211.1129999999998</v>
      </c>
      <c r="U12" s="66">
        <f>fallhap3b!AL193</f>
        <v>2279.723</v>
      </c>
      <c r="V12" s="66">
        <f>fallhap3b!AM193</f>
        <v>2212.8360000000002</v>
      </c>
      <c r="W12" s="71"/>
      <c r="X12" s="38">
        <f t="shared" si="2"/>
        <v>0.91166414376242588</v>
      </c>
      <c r="Z12" s="7">
        <f>MECS_Annual_Fuel2!CB84</f>
        <v>2017.3632372266716</v>
      </c>
      <c r="AA12" s="7">
        <f>MECS_Annual_Fuel2!CC84</f>
        <v>1985.8799822003309</v>
      </c>
      <c r="AB12" s="7">
        <f>MECS_Annual_Fuel2!CD84</f>
        <v>2039.394142819116</v>
      </c>
      <c r="AC12" s="7">
        <f>MECS_Annual_Fuel2!CE84</f>
        <v>2153.9562641132611</v>
      </c>
      <c r="AD12" s="7">
        <f>MECS_Annual_Fuel2!CF84</f>
        <v>2186.1253063093668</v>
      </c>
      <c r="AE12" s="7">
        <f>MECS_Annual_Fuel2!CG84</f>
        <v>2232.4561523667417</v>
      </c>
      <c r="AF12" s="7">
        <f>MECS_Annual_Fuel2!CH84</f>
        <v>2267.2367478194155</v>
      </c>
      <c r="AG12" s="7">
        <f>MECS_Annual_Fuel2!CI84</f>
        <v>2376.8968151839495</v>
      </c>
      <c r="AH12" s="7">
        <f>MECS_Annual_Fuel2!CJ84</f>
        <v>2413.860058955303</v>
      </c>
      <c r="AI12" s="7">
        <f>MECS_Annual_Fuel2!CK84</f>
        <v>2406.5414497255788</v>
      </c>
      <c r="AJ12" s="7">
        <f>MECS_Annual_Fuel2!CL84</f>
        <v>2475.1031059942475</v>
      </c>
      <c r="AK12" s="7">
        <f>MECS_Annual_Fuel2!CM84</f>
        <v>2445.7058531055864</v>
      </c>
      <c r="AL12" s="7">
        <f>MECS_Annual_Fuel2!CN84</f>
        <v>2444.4671078929837</v>
      </c>
      <c r="AM12" s="7">
        <f>MECS_Annual_Fuel2!CO84</f>
        <v>2503.918032</v>
      </c>
      <c r="AN12" s="7">
        <f>MECS_Annual_Fuel2!CP84</f>
        <v>2465.1884562264563</v>
      </c>
      <c r="AO12" s="7">
        <f>MECS_Annual_Fuel2!CQ84</f>
        <v>2357.2657029108259</v>
      </c>
      <c r="AP12" s="7">
        <f>MECS_Annual_Fuel2!CR84</f>
        <v>2298.5199852617166</v>
      </c>
      <c r="AQ12" s="7">
        <f>MECS_Annual_Fuel2!CS84</f>
        <v>2137.503764</v>
      </c>
      <c r="AR12" s="7">
        <f>MECS_Annual_Fuel2!CT84</f>
        <v>2062.2055493557114</v>
      </c>
      <c r="AS12" s="7">
        <f>MECS_Annual_Fuel2!CU84</f>
        <v>2028.3709641295484</v>
      </c>
      <c r="AT12" s="7">
        <f>MECS_Annual_Fuel2!CV84</f>
        <v>2041.520676975912</v>
      </c>
      <c r="AU12" s="7">
        <f>MECS_Annual_Fuel2!CW84</f>
        <v>2106.5685840000001</v>
      </c>
      <c r="AV12" s="7">
        <f>MECS_Annual_Fuel2!CX84</f>
        <v>2090.1212360058084</v>
      </c>
      <c r="AW12" s="7">
        <f>MECS_Annual_Fuel2!CY84</f>
        <v>1905.2774059551602</v>
      </c>
      <c r="AX12" s="7">
        <f>MECS_Annual_Fuel2!CZ84</f>
        <v>1774.044580052572</v>
      </c>
      <c r="AY12" s="7">
        <f>MECS_Annual_Fuel2!DA84</f>
        <v>1904</v>
      </c>
      <c r="AZ12" s="7">
        <f>MECS_Annual_Fuel2!DB84</f>
        <v>1722.0786392639382</v>
      </c>
      <c r="BA12" s="7">
        <f>MECS_Annual_Fuel2!DC84</f>
        <v>1678.8466954510259</v>
      </c>
      <c r="BB12" s="7">
        <f>MECS_Annual_Fuel2!DD84</f>
        <v>1810.8084829965851</v>
      </c>
      <c r="BC12" s="7">
        <f>MECS_Annual_Fuel2!DE84</f>
        <v>1899</v>
      </c>
      <c r="BD12" s="7">
        <f>MECS_Annual_Fuel2!DF84</f>
        <v>1916.5339866445674</v>
      </c>
      <c r="BE12" s="7">
        <f>MECS_Annual_Fuel2!DG84</f>
        <v>1920.6028756718433</v>
      </c>
      <c r="BF12" s="7">
        <f>MECS_Annual_Fuel2!DH84</f>
        <v>1793.6389598515498</v>
      </c>
      <c r="BP12">
        <v>1972</v>
      </c>
      <c r="BQ12" s="49">
        <v>1033.7732940337014</v>
      </c>
      <c r="BR12" s="49">
        <v>242.48210352435277</v>
      </c>
      <c r="BS12" s="49">
        <v>61.690356109039513</v>
      </c>
      <c r="BT12" s="49">
        <v>239.87441262700719</v>
      </c>
      <c r="BU12" s="49">
        <v>1856.5684738705736</v>
      </c>
      <c r="BV12" s="49">
        <v>28.59798183782285</v>
      </c>
      <c r="BW12" s="49">
        <v>2939.1111055370584</v>
      </c>
      <c r="BX12" s="49">
        <v>2578.0337383797546</v>
      </c>
      <c r="BY12" s="49">
        <v>209.55477565245272</v>
      </c>
      <c r="BZ12" s="49">
        <v>1209.1243584394715</v>
      </c>
      <c r="CA12" s="49">
        <v>3785.5386145932266</v>
      </c>
      <c r="CB12" s="49">
        <v>343.77320812399466</v>
      </c>
      <c r="CC12" s="49">
        <v>218.39703797300956</v>
      </c>
      <c r="CD12" s="49">
        <v>74.747061380193131</v>
      </c>
      <c r="CE12" s="49">
        <v>110.22258197871564</v>
      </c>
      <c r="CF12" s="49">
        <v>312.66549800977111</v>
      </c>
      <c r="CG12" s="49">
        <v>50.471560662555731</v>
      </c>
      <c r="CH12" s="49">
        <v>57.277436919861096</v>
      </c>
      <c r="CJ12">
        <f t="shared" si="3"/>
        <v>1972</v>
      </c>
      <c r="CK12" s="7">
        <f t="shared" si="4"/>
        <v>15351.903599652562</v>
      </c>
      <c r="CL12" s="44">
        <f>AER11_Table2.1d!U35*0.001</f>
        <v>23516.505000000001</v>
      </c>
      <c r="CM12">
        <f t="shared" si="5"/>
        <v>0.6528139959425332</v>
      </c>
    </row>
    <row r="13" spans="1:91" x14ac:dyDescent="0.2">
      <c r="F13" t="s">
        <v>107</v>
      </c>
      <c r="G13" s="66">
        <f>fallhap3b!X194</f>
        <v>40.970384449244058</v>
      </c>
      <c r="H13" s="66">
        <f>fallhap3b!Y194</f>
        <v>39.198826086956551</v>
      </c>
      <c r="I13" s="66">
        <f>fallhap3b!Z194</f>
        <v>38.68044000000004</v>
      </c>
      <c r="J13" s="66">
        <f>fallhap3b!AA194</f>
        <v>36.072639999999971</v>
      </c>
      <c r="K13" s="66">
        <f>fallhap3b!AB194</f>
        <v>29.890079999999983</v>
      </c>
      <c r="L13" s="66">
        <f>fallhap3b!AC194</f>
        <v>32.234720000000046</v>
      </c>
      <c r="M13" s="66">
        <f>fallhap3b!AD194</f>
        <v>26.116079999999986</v>
      </c>
      <c r="N13" s="66">
        <f>fallhap3b!AE194</f>
        <v>31.614559999999997</v>
      </c>
      <c r="O13" s="66">
        <f>fallhap3b!AF194</f>
        <v>31.79748</v>
      </c>
      <c r="P13" s="66">
        <f>fallhap3b!AG194</f>
        <v>34.863600000000005</v>
      </c>
      <c r="Q13" s="66">
        <f>fallhap3b!AH194</f>
        <v>33.957840000000004</v>
      </c>
      <c r="R13" s="66">
        <f>fallhap3b!AI194</f>
        <v>33.96396</v>
      </c>
      <c r="S13" s="66">
        <f>fallhap3b!AJ194</f>
        <v>35.689799999999998</v>
      </c>
      <c r="T13" s="66">
        <f>fallhap3b!AK194</f>
        <v>37.516514446529079</v>
      </c>
      <c r="U13" s="66">
        <f>fallhap3b!AL194</f>
        <v>43.264868051118214</v>
      </c>
      <c r="V13" s="66">
        <f>fallhap3b!AM194</f>
        <v>36.112064236111109</v>
      </c>
      <c r="W13" s="71"/>
      <c r="X13" s="38">
        <f t="shared" si="2"/>
        <v>0.73933962069259862</v>
      </c>
      <c r="Z13" s="7">
        <f>MECS_Annual_Fuel2!CB85</f>
        <v>26.699079874753146</v>
      </c>
      <c r="AA13" s="7">
        <f>MECS_Annual_Fuel2!CC85</f>
        <v>31.398684042991388</v>
      </c>
      <c r="AB13" s="7">
        <f>MECS_Annual_Fuel2!CD85</f>
        <v>35.457031000499867</v>
      </c>
      <c r="AC13" s="7">
        <f>MECS_Annual_Fuel2!CE85</f>
        <v>40.089746346787351</v>
      </c>
      <c r="AD13" s="7">
        <f>MECS_Annual_Fuel2!CF85</f>
        <v>41.243633713675202</v>
      </c>
      <c r="AE13" s="7">
        <f>MECS_Annual_Fuel2!CG85</f>
        <v>40.250360783695889</v>
      </c>
      <c r="AF13" s="7">
        <f>MECS_Annual_Fuel2!CH85</f>
        <v>38.576483481067747</v>
      </c>
      <c r="AG13" s="7">
        <f>MECS_Annual_Fuel2!CI85</f>
        <v>38.178392597320688</v>
      </c>
      <c r="AH13" s="7">
        <f>MECS_Annual_Fuel2!CJ85</f>
        <v>35.271440939704874</v>
      </c>
      <c r="AI13" s="7">
        <f>MECS_Annual_Fuel2!CK85</f>
        <v>37.113573244007682</v>
      </c>
      <c r="AJ13" s="7">
        <f>MECS_Annual_Fuel2!CL85</f>
        <v>43.188518122581051</v>
      </c>
      <c r="AK13" s="7">
        <f>MECS_Annual_Fuel2!CM85</f>
        <v>40.33110661016218</v>
      </c>
      <c r="AL13" s="7">
        <f>MECS_Annual_Fuel2!CN85</f>
        <v>40.608372244311404</v>
      </c>
      <c r="AM13" s="7">
        <f>MECS_Annual_Fuel2!CO85</f>
        <v>47.004247999999997</v>
      </c>
      <c r="AN13" s="7">
        <f>MECS_Annual_Fuel2!CP85</f>
        <v>52.164830887173935</v>
      </c>
      <c r="AO13" s="7">
        <f>MECS_Annual_Fuel2!CQ85</f>
        <v>43.975163094048298</v>
      </c>
      <c r="AP13" s="7">
        <f>MECS_Annual_Fuel2!CR85</f>
        <v>43.927533603441304</v>
      </c>
      <c r="AQ13" s="7">
        <f>MECS_Annual_Fuel2!CS85</f>
        <v>47.795832000000004</v>
      </c>
      <c r="AR13" s="7">
        <f>MECS_Annual_Fuel2!CT85</f>
        <v>39.692067517161526</v>
      </c>
      <c r="AS13" s="7">
        <f>MECS_Annual_Fuel2!CU85</f>
        <v>39.966826921984563</v>
      </c>
      <c r="AT13" s="7">
        <f>MECS_Annual_Fuel2!CV85</f>
        <v>36.753303021623331</v>
      </c>
      <c r="AU13" s="7">
        <f>MECS_Annual_Fuel2!CW85</f>
        <v>40.374451999999998</v>
      </c>
      <c r="AV13" s="7">
        <f>MECS_Annual_Fuel2!CX85</f>
        <v>40.901224952433246</v>
      </c>
      <c r="AW13" s="7">
        <f>MECS_Annual_Fuel2!CY85</f>
        <v>32.461027328280444</v>
      </c>
      <c r="AX13" s="7">
        <f>MECS_Annual_Fuel2!CZ85</f>
        <v>42.881660809701962</v>
      </c>
      <c r="AY13" s="7">
        <f>MECS_Annual_Fuel2!DA85</f>
        <v>36</v>
      </c>
      <c r="AZ13" s="7">
        <f>MECS_Annual_Fuel2!DB85</f>
        <v>39.681746342190024</v>
      </c>
      <c r="BA13" s="7">
        <f>MECS_Annual_Fuel2!DC85</f>
        <v>40.886951644453283</v>
      </c>
      <c r="BB13" s="7">
        <f>MECS_Annual_Fuel2!DD85</f>
        <v>41.131101202521521</v>
      </c>
      <c r="BC13" s="7">
        <f>MECS_Annual_Fuel2!DE85</f>
        <v>40</v>
      </c>
      <c r="BD13" s="7">
        <f>MECS_Annual_Fuel2!DF85</f>
        <v>41.772916701739263</v>
      </c>
      <c r="BE13" s="7">
        <f>MECS_Annual_Fuel2!DG85</f>
        <v>48.826228708148577</v>
      </c>
      <c r="BF13" s="7">
        <f>MECS_Annual_Fuel2!DH85</f>
        <v>59.497184411456416</v>
      </c>
      <c r="BP13">
        <v>1973</v>
      </c>
      <c r="BQ13" s="49">
        <v>1002.7388099089143</v>
      </c>
      <c r="BR13" s="49">
        <v>223.28416490121569</v>
      </c>
      <c r="BS13" s="49">
        <v>52.443351114267543</v>
      </c>
      <c r="BT13" s="49">
        <v>247.10923999438248</v>
      </c>
      <c r="BU13" s="49">
        <v>1823.4914754065853</v>
      </c>
      <c r="BV13" s="49">
        <v>26.669931974980639</v>
      </c>
      <c r="BW13" s="49">
        <v>3102.474949837007</v>
      </c>
      <c r="BX13" s="49">
        <v>2619.3404671718845</v>
      </c>
      <c r="BY13" s="49">
        <v>199.50643162268227</v>
      </c>
      <c r="BZ13" s="49">
        <v>1159.8330046800086</v>
      </c>
      <c r="CA13" s="49">
        <v>4111.2014447395004</v>
      </c>
      <c r="CB13" s="49">
        <v>325.62117898117543</v>
      </c>
      <c r="CC13" s="49">
        <v>210.94368618770071</v>
      </c>
      <c r="CD13" s="49">
        <v>64.99906124642898</v>
      </c>
      <c r="CE13" s="49">
        <v>107.88458131294843</v>
      </c>
      <c r="CF13" s="49">
        <v>293.10981567003518</v>
      </c>
      <c r="CG13" s="49">
        <v>44.224441887244147</v>
      </c>
      <c r="CH13" s="49">
        <v>48.931296111538408</v>
      </c>
      <c r="CJ13">
        <f t="shared" si="3"/>
        <v>1973</v>
      </c>
      <c r="CK13" s="7">
        <f t="shared" si="4"/>
        <v>15663.807332748498</v>
      </c>
      <c r="CL13" s="44">
        <f>AER11_Table2.1d!U36*0.001</f>
        <v>24720.398000000001</v>
      </c>
      <c r="CM13">
        <f t="shared" si="5"/>
        <v>0.63363896215378479</v>
      </c>
    </row>
    <row r="14" spans="1:91" x14ac:dyDescent="0.2">
      <c r="F14" t="s">
        <v>108</v>
      </c>
      <c r="G14" s="66">
        <f>fallhap3b!X195</f>
        <v>2635.1559999999999</v>
      </c>
      <c r="H14" s="66">
        <f>fallhap3b!Y195</f>
        <v>2635.9049999999997</v>
      </c>
      <c r="I14" s="66">
        <f>fallhap3b!Z195</f>
        <v>2773.3790000000004</v>
      </c>
      <c r="J14" s="66">
        <f>fallhap3b!AA195</f>
        <v>2927.5309999999999</v>
      </c>
      <c r="K14" s="66">
        <f>fallhap3b!AB195</f>
        <v>2886.8559999999998</v>
      </c>
      <c r="L14" s="66">
        <f>fallhap3b!AC195</f>
        <v>2747.96</v>
      </c>
      <c r="M14" s="66">
        <f>fallhap3b!AD195</f>
        <v>2839.1610000000001</v>
      </c>
      <c r="N14" s="66">
        <f>fallhap3b!AE195</f>
        <v>2935.9290000000005</v>
      </c>
      <c r="O14" s="66">
        <f>fallhap3b!AF195</f>
        <v>2926.7709999999997</v>
      </c>
      <c r="P14" s="66">
        <f>fallhap3b!AG195</f>
        <v>2880.9909999999995</v>
      </c>
      <c r="Q14" s="66">
        <f>fallhap3b!AH195</f>
        <v>2766.5080000000003</v>
      </c>
      <c r="R14" s="66">
        <f>fallhap3b!AI195</f>
        <v>2323.83</v>
      </c>
      <c r="S14" s="66">
        <f>fallhap3b!AJ195</f>
        <v>2303.2909999999997</v>
      </c>
      <c r="T14" s="66">
        <f>fallhap3b!AK195</f>
        <v>2329.6880000000001</v>
      </c>
      <c r="U14" s="66">
        <f>fallhap3b!AL195</f>
        <v>2352.5519999999997</v>
      </c>
      <c r="V14" s="66">
        <f>fallhap3b!AM195</f>
        <v>2377.5550000000003</v>
      </c>
      <c r="W14" s="71"/>
      <c r="X14" s="38">
        <f t="shared" si="2"/>
        <v>1.059758188670592</v>
      </c>
      <c r="Z14" s="48">
        <f>MECS_Annual_Fuel2!CB86</f>
        <v>2519.6333802647096</v>
      </c>
      <c r="AA14" s="48">
        <f>MECS_Annual_Fuel2!CC86</f>
        <v>2850.2471338482869</v>
      </c>
      <c r="AB14" s="48">
        <f>MECS_Annual_Fuel2!CD86</f>
        <v>2753.6476622858058</v>
      </c>
      <c r="AC14" s="48">
        <f>MECS_Annual_Fuel2!CE86</f>
        <v>3018.3157833208888</v>
      </c>
      <c r="AD14" s="48">
        <f>MECS_Annual_Fuel2!CF86</f>
        <v>2965.3762841158969</v>
      </c>
      <c r="AE14" s="48">
        <f>MECS_Annual_Fuel2!CG86</f>
        <v>2981.7236021574176</v>
      </c>
      <c r="AF14" s="48">
        <f>MECS_Annual_Fuel2!CH86</f>
        <v>2884.3712617836486</v>
      </c>
      <c r="AG14" s="48">
        <f>MECS_Annual_Fuel2!CI86</f>
        <v>2978.6197025599158</v>
      </c>
      <c r="AH14" s="48">
        <f>MECS_Annual_Fuel2!CJ86</f>
        <v>2970.8276442091383</v>
      </c>
      <c r="AI14" s="48">
        <f>MECS_Annual_Fuel2!CK86</f>
        <v>3144.6947232151383</v>
      </c>
      <c r="AJ14" s="48">
        <f>MECS_Annual_Fuel2!CL86</f>
        <v>3318.3953852069985</v>
      </c>
      <c r="AK14" s="48">
        <f>MECS_Annual_Fuel2!CM86</f>
        <v>3430.9762747528257</v>
      </c>
      <c r="AL14" s="48">
        <f>MECS_Annual_Fuel2!CN86</f>
        <v>3465.1910244853348</v>
      </c>
      <c r="AM14" s="48">
        <f>MECS_Annual_Fuel2!CO86</f>
        <v>3495.5546920000002</v>
      </c>
      <c r="AN14" s="48">
        <f>MECS_Annual_Fuel2!CP86</f>
        <v>3559.9686790500004</v>
      </c>
      <c r="AO14" s="48">
        <f>MECS_Annual_Fuel2!CQ86</f>
        <v>3613.8718330000002</v>
      </c>
      <c r="AP14" s="48">
        <f>MECS_Annual_Fuel2!CR86</f>
        <v>3494.7027549010036</v>
      </c>
      <c r="AQ14" s="48">
        <f>MECS_Annual_Fuel2!CS86</f>
        <v>3075.1213680000001</v>
      </c>
      <c r="AR14" s="48">
        <f>MECS_Annual_Fuel2!CT86</f>
        <v>2986.514133005855</v>
      </c>
      <c r="AS14" s="48">
        <f>MECS_Annual_Fuel2!CU86</f>
        <v>3077.7580838021422</v>
      </c>
      <c r="AT14" s="48">
        <f>MECS_Annual_Fuel2!CV86</f>
        <v>3370.7901598183917</v>
      </c>
      <c r="AU14" s="48">
        <f>MECS_Annual_Fuel2!CW86</f>
        <v>3259.0627920000002</v>
      </c>
      <c r="AV14" s="48">
        <f>MECS_Annual_Fuel2!CX86</f>
        <v>3233.695904757873</v>
      </c>
      <c r="AW14" s="48">
        <f>MECS_Annual_Fuel2!CY86</f>
        <v>3327.9701282444062</v>
      </c>
      <c r="AX14" s="48">
        <f>MECS_Annual_Fuel2!CZ86</f>
        <v>3130.9523370717566</v>
      </c>
      <c r="AY14" s="48">
        <f>MECS_Annual_Fuel2!DA86</f>
        <v>3159</v>
      </c>
      <c r="AZ14" s="48">
        <f>MECS_Annual_Fuel2!DB86</f>
        <v>3119.7773525461766</v>
      </c>
      <c r="BA14" s="48">
        <f>MECS_Annual_Fuel2!DC86</f>
        <v>2948.0452954146526</v>
      </c>
      <c r="BB14" s="48">
        <f>MECS_Annual_Fuel2!DD86</f>
        <v>3141.97711054922</v>
      </c>
      <c r="BC14" s="48">
        <f>MECS_Annual_Fuel2!DE86</f>
        <v>3346</v>
      </c>
      <c r="BD14" s="48">
        <f>MECS_Annual_Fuel2!DF86</f>
        <v>2662.5075454970774</v>
      </c>
      <c r="BE14" s="48">
        <f>MECS_Annual_Fuel2!DG86</f>
        <v>2393.0286293869767</v>
      </c>
      <c r="BF14" s="48">
        <f>MECS_Annual_Fuel2!DH86</f>
        <v>2653.5491863240372</v>
      </c>
      <c r="BP14">
        <v>1974</v>
      </c>
      <c r="BQ14" s="49">
        <v>916.38228761252185</v>
      </c>
      <c r="BR14" s="49">
        <v>195.18273179879691</v>
      </c>
      <c r="BS14" s="49">
        <v>45.343594680817269</v>
      </c>
      <c r="BT14" s="49">
        <v>236.32951784971422</v>
      </c>
      <c r="BU14" s="49">
        <v>1841.4594640159989</v>
      </c>
      <c r="BV14" s="49">
        <v>22.098920409671415</v>
      </c>
      <c r="BW14" s="49">
        <v>3059.3692855128302</v>
      </c>
      <c r="BX14" s="49">
        <v>2984.1066150056604</v>
      </c>
      <c r="BY14" s="49">
        <v>183.40529199206608</v>
      </c>
      <c r="BZ14" s="49">
        <v>1166.0564308853952</v>
      </c>
      <c r="CA14" s="49">
        <v>3959.3259398847586</v>
      </c>
      <c r="CB14" s="49">
        <v>293.69135137908847</v>
      </c>
      <c r="CC14" s="49">
        <v>200.25859350879159</v>
      </c>
      <c r="CD14" s="49">
        <v>54.711571164345017</v>
      </c>
      <c r="CE14" s="49">
        <v>95.738404505607377</v>
      </c>
      <c r="CF14" s="49">
        <v>278.49585239729356</v>
      </c>
      <c r="CG14" s="49">
        <v>45.016686554556983</v>
      </c>
      <c r="CH14" s="49">
        <v>43.214543825357822</v>
      </c>
      <c r="CJ14">
        <f t="shared" si="3"/>
        <v>1974</v>
      </c>
      <c r="CK14" s="7">
        <f t="shared" si="4"/>
        <v>15620.187082983271</v>
      </c>
      <c r="CL14" s="44">
        <f>AER11_Table2.1d!U37*0.001</f>
        <v>23795.852999999999</v>
      </c>
      <c r="CM14">
        <f t="shared" si="5"/>
        <v>0.65642475951516732</v>
      </c>
    </row>
    <row r="15" spans="1:91" x14ac:dyDescent="0.2">
      <c r="F15" t="s">
        <v>109</v>
      </c>
      <c r="G15" s="66">
        <f>fallhap3b!X196</f>
        <v>2110.4</v>
      </c>
      <c r="H15" s="66">
        <f>fallhap3b!Y196</f>
        <v>2174.7960000000003</v>
      </c>
      <c r="I15" s="66">
        <f>fallhap3b!Z196</f>
        <v>2188.2879999999996</v>
      </c>
      <c r="J15" s="66">
        <f>fallhap3b!AA196</f>
        <v>2223.35</v>
      </c>
      <c r="K15" s="66">
        <f>fallhap3b!AB196</f>
        <v>2532.9709999999995</v>
      </c>
      <c r="L15" s="66">
        <f>fallhap3b!AC196</f>
        <v>2246.998</v>
      </c>
      <c r="M15" s="66">
        <f>fallhap3b!AD196</f>
        <v>2381.0800000000004</v>
      </c>
      <c r="N15" s="66">
        <f>fallhap3b!AE196</f>
        <v>2323.116</v>
      </c>
      <c r="O15" s="66">
        <f>fallhap3b!AF196</f>
        <v>2225.5829999999996</v>
      </c>
      <c r="P15" s="66">
        <f>fallhap3b!AG196</f>
        <v>2242.2139999999999</v>
      </c>
      <c r="Q15" s="66">
        <f>fallhap3b!AH196</f>
        <v>2108.2630000000004</v>
      </c>
      <c r="R15" s="66">
        <f>fallhap3b!AI196</f>
        <v>2047.1180000000002</v>
      </c>
      <c r="S15" s="66">
        <f>fallhap3b!AJ196</f>
        <v>1832.7389999999998</v>
      </c>
      <c r="T15" s="66">
        <f>fallhap3b!AK196</f>
        <v>1900.3729999999998</v>
      </c>
      <c r="U15" s="66">
        <f>fallhap3b!AL196</f>
        <v>1975.92</v>
      </c>
      <c r="V15" s="66">
        <f>fallhap3b!AM196</f>
        <v>1682.6429999999998</v>
      </c>
      <c r="W15" s="71"/>
      <c r="X15" s="38">
        <f t="shared" si="2"/>
        <v>1.1781053217765465</v>
      </c>
      <c r="Z15" s="48">
        <f>MECS_Annual_Fuel2!CB87</f>
        <v>1982.3306729500532</v>
      </c>
      <c r="AA15" s="48">
        <f>MECS_Annual_Fuel2!CC87</f>
        <v>2015.168144981348</v>
      </c>
      <c r="AB15" s="48">
        <f>MECS_Annual_Fuel2!CD87</f>
        <v>2230.5058143667238</v>
      </c>
      <c r="AC15" s="48">
        <f>MECS_Annual_Fuel2!CE87</f>
        <v>2425.2974275342949</v>
      </c>
      <c r="AD15" s="48">
        <f>MECS_Annual_Fuel2!CF87</f>
        <v>2521.8421868716355</v>
      </c>
      <c r="AE15" s="48">
        <f>MECS_Annual_Fuel2!CG87</f>
        <v>2717.7721792901602</v>
      </c>
      <c r="AF15" s="48">
        <f>MECS_Annual_Fuel2!CH87</f>
        <v>2577.2858974832011</v>
      </c>
      <c r="AG15" s="48">
        <f>MECS_Annual_Fuel2!CI87</f>
        <v>2624.9869434256652</v>
      </c>
      <c r="AH15" s="48">
        <f>MECS_Annual_Fuel2!CJ87</f>
        <v>2667.9116101083255</v>
      </c>
      <c r="AI15" s="48">
        <f>MECS_Annual_Fuel2!CK87</f>
        <v>2729.1714558311169</v>
      </c>
      <c r="AJ15" s="48">
        <f>MECS_Annual_Fuel2!CL87</f>
        <v>2808.3801069250053</v>
      </c>
      <c r="AK15" s="48">
        <f>MECS_Annual_Fuel2!CM87</f>
        <v>3060.7601437574108</v>
      </c>
      <c r="AL15" s="48">
        <f>MECS_Annual_Fuel2!CN87</f>
        <v>3103.9541409155927</v>
      </c>
      <c r="AM15" s="48">
        <f>MECS_Annual_Fuel2!CO87</f>
        <v>3126.5770039999998</v>
      </c>
      <c r="AN15" s="48">
        <f>MECS_Annual_Fuel2!CP87</f>
        <v>3311.1447124275678</v>
      </c>
      <c r="AO15" s="48">
        <f>MECS_Annual_Fuel2!CQ87</f>
        <v>3451.1731051817164</v>
      </c>
      <c r="AP15" s="48">
        <f>MECS_Annual_Fuel2!CR87</f>
        <v>3269.7219092965011</v>
      </c>
      <c r="AQ15" s="48">
        <f>MECS_Annual_Fuel2!CS87</f>
        <v>3246.609152</v>
      </c>
      <c r="AR15" s="48">
        <f>MECS_Annual_Fuel2!CT87</f>
        <v>3278.8496369605023</v>
      </c>
      <c r="AS15" s="48">
        <f>MECS_Annual_Fuel2!CU87</f>
        <v>3050.2080438901307</v>
      </c>
      <c r="AT15" s="48">
        <f>MECS_Annual_Fuel2!CV87</f>
        <v>2799.0993758095683</v>
      </c>
      <c r="AU15" s="48">
        <f>MECS_Annual_Fuel2!CW87</f>
        <v>2677.7578599999997</v>
      </c>
      <c r="AV15" s="48">
        <f>MECS_Annual_Fuel2!CX87</f>
        <v>2824.531653445953</v>
      </c>
      <c r="AW15" s="48">
        <f>MECS_Annual_Fuel2!CY87</f>
        <v>2808.6503129524704</v>
      </c>
      <c r="AX15" s="48">
        <f>MECS_Annual_Fuel2!CZ87</f>
        <v>2507.0190933838858</v>
      </c>
      <c r="AY15" s="48">
        <f>MECS_Annual_Fuel2!DA87</f>
        <v>2772</v>
      </c>
      <c r="AZ15" s="48">
        <f>MECS_Annual_Fuel2!DB87</f>
        <v>2865.8842342198377</v>
      </c>
      <c r="BA15" s="48">
        <f>MECS_Annual_Fuel2!DC87</f>
        <v>2721.4162617878787</v>
      </c>
      <c r="BB15" s="48">
        <f>MECS_Annual_Fuel2!DD87</f>
        <v>3072.8614151678034</v>
      </c>
      <c r="BC15" s="48">
        <f>MECS_Annual_Fuel2!DE87</f>
        <v>3069</v>
      </c>
      <c r="BD15" s="48">
        <f>MECS_Annual_Fuel2!DF87</f>
        <v>3261.3093142911703</v>
      </c>
      <c r="BE15" s="48">
        <f>MECS_Annual_Fuel2!DG87</f>
        <v>3611.5291991229756</v>
      </c>
      <c r="BF15" s="48">
        <f>MECS_Annual_Fuel2!DH87</f>
        <v>3286.1766212997227</v>
      </c>
      <c r="BP15">
        <v>1975</v>
      </c>
      <c r="BQ15" s="49">
        <v>919.47748680792574</v>
      </c>
      <c r="BR15" s="49">
        <v>194.60722748181865</v>
      </c>
      <c r="BS15" s="49">
        <v>43.638892674927845</v>
      </c>
      <c r="BT15" s="49">
        <v>221.3159713170036</v>
      </c>
      <c r="BU15" s="49">
        <v>1695.0070009695717</v>
      </c>
      <c r="BV15" s="49">
        <v>23.832405657932156</v>
      </c>
      <c r="BW15" s="49">
        <v>2912.1731121392399</v>
      </c>
      <c r="BX15" s="49">
        <v>2647.2003018212563</v>
      </c>
      <c r="BY15" s="49">
        <v>167.84096044703415</v>
      </c>
      <c r="BZ15" s="49">
        <v>1035.47811887231</v>
      </c>
      <c r="CA15" s="49">
        <v>3317.3109261313675</v>
      </c>
      <c r="CB15" s="49">
        <v>275.58926308356416</v>
      </c>
      <c r="CC15" s="49">
        <v>183.33232342411438</v>
      </c>
      <c r="CD15" s="49">
        <v>55.200028279715859</v>
      </c>
      <c r="CE15" s="49">
        <v>82.895915930684069</v>
      </c>
      <c r="CF15" s="49">
        <v>261.61018655965438</v>
      </c>
      <c r="CG15" s="49">
        <v>38.122775143277181</v>
      </c>
      <c r="CH15" s="49">
        <v>39.129404667640735</v>
      </c>
      <c r="CJ15">
        <f t="shared" si="3"/>
        <v>1975</v>
      </c>
      <c r="CK15" s="7">
        <f t="shared" si="4"/>
        <v>14113.762301409039</v>
      </c>
      <c r="CL15" s="44">
        <f>AER11_Table2.1d!U38*0.001</f>
        <v>21434.365000000002</v>
      </c>
      <c r="CM15">
        <f t="shared" si="5"/>
        <v>0.65846421395777466</v>
      </c>
    </row>
    <row r="16" spans="1:91" x14ac:dyDescent="0.2">
      <c r="F16" t="s">
        <v>110</v>
      </c>
      <c r="G16" s="66">
        <f>fallhap3b!X197</f>
        <v>153.815</v>
      </c>
      <c r="H16" s="66">
        <f>fallhap3b!Y197</f>
        <v>168.61500000000001</v>
      </c>
      <c r="I16" s="66">
        <f>fallhap3b!Z197</f>
        <v>202.60300000000001</v>
      </c>
      <c r="J16" s="66">
        <f>fallhap3b!AA197</f>
        <v>192.88800000000001</v>
      </c>
      <c r="K16" s="66">
        <f>fallhap3b!AB197</f>
        <v>177.321</v>
      </c>
      <c r="L16" s="66">
        <f>fallhap3b!AC197</f>
        <v>162.273</v>
      </c>
      <c r="M16" s="66">
        <f>fallhap3b!AD197</f>
        <v>166.16</v>
      </c>
      <c r="N16" s="66">
        <f>fallhap3b!AE197</f>
        <v>189.12100000000001</v>
      </c>
      <c r="O16" s="66">
        <f>fallhap3b!AF197</f>
        <v>177.24</v>
      </c>
      <c r="P16" s="66">
        <f>fallhap3b!AG197</f>
        <v>164.92099999999999</v>
      </c>
      <c r="Q16" s="66">
        <f>fallhap3b!AH197</f>
        <v>143.93700000000001</v>
      </c>
      <c r="R16" s="66">
        <f>fallhap3b!AI197</f>
        <v>138.56399999999999</v>
      </c>
      <c r="S16" s="66">
        <f>fallhap3b!AJ197</f>
        <v>131.744</v>
      </c>
      <c r="T16" s="66">
        <f>fallhap3b!AK197</f>
        <v>139.148</v>
      </c>
      <c r="U16" s="66">
        <f>fallhap3b!AL197</f>
        <v>140.756</v>
      </c>
      <c r="V16" s="66">
        <f>fallhap3b!AM197</f>
        <v>124.17</v>
      </c>
      <c r="W16" s="71"/>
      <c r="X16" s="38">
        <f t="shared" si="2"/>
        <v>1.0343123036305124</v>
      </c>
      <c r="Z16" s="7">
        <f>MECS_Annual_Fuel2!CB88</f>
        <v>128.43055874180072</v>
      </c>
      <c r="AA16" s="7">
        <f>MECS_Annual_Fuel2!CC88</f>
        <v>135.02187702867309</v>
      </c>
      <c r="AB16" s="7">
        <f>MECS_Annual_Fuel2!CD88</f>
        <v>151.42293972634729</v>
      </c>
      <c r="AC16" s="7">
        <f>MECS_Annual_Fuel2!CE88</f>
        <v>150.36582650079393</v>
      </c>
      <c r="AD16" s="7">
        <f>MECS_Annual_Fuel2!CF88</f>
        <v>156.13332627095838</v>
      </c>
      <c r="AE16" s="7">
        <f>MECS_Annual_Fuel2!CG88</f>
        <v>135.02276624658089</v>
      </c>
      <c r="AF16" s="7">
        <f>MECS_Annual_Fuel2!CH88</f>
        <v>125.61488437265322</v>
      </c>
      <c r="AG16" s="7">
        <f>MECS_Annual_Fuel2!CI88</f>
        <v>132.95089229393827</v>
      </c>
      <c r="AH16" s="7">
        <f>MECS_Annual_Fuel2!CJ88</f>
        <v>136.77256011490636</v>
      </c>
      <c r="AI16" s="7">
        <f>MECS_Annual_Fuel2!CK88</f>
        <v>141.58522460569185</v>
      </c>
      <c r="AJ16" s="7">
        <f>MECS_Annual_Fuel2!CL88</f>
        <v>151.80278514264387</v>
      </c>
      <c r="AK16" s="7">
        <f>MECS_Annual_Fuel2!CM88</f>
        <v>145.59186602176126</v>
      </c>
      <c r="AL16" s="7">
        <f>MECS_Annual_Fuel2!CN88</f>
        <v>135.30020215581013</v>
      </c>
      <c r="AM16" s="7">
        <f>MECS_Annual_Fuel2!CO88</f>
        <v>144.39999600000002</v>
      </c>
      <c r="AN16" s="7">
        <f>MECS_Annual_Fuel2!CP88</f>
        <v>163.77373974259751</v>
      </c>
      <c r="AO16" s="7">
        <f>MECS_Annual_Fuel2!CQ88</f>
        <v>170.55457311273068</v>
      </c>
      <c r="AP16" s="7">
        <f>MECS_Annual_Fuel2!CR88</f>
        <v>170.96821812825092</v>
      </c>
      <c r="AQ16" s="7">
        <f>MECS_Annual_Fuel2!CS88</f>
        <v>166.54642800000002</v>
      </c>
      <c r="AR16" s="7">
        <f>MECS_Annual_Fuel2!CT88</f>
        <v>162.38700858836174</v>
      </c>
      <c r="AS16" s="7">
        <f>MECS_Annual_Fuel2!CU88</f>
        <v>156.34521408513098</v>
      </c>
      <c r="AT16" s="7">
        <f>MECS_Annual_Fuel2!CV88</f>
        <v>150.24560489044413</v>
      </c>
      <c r="AU16" s="7">
        <f>MECS_Annual_Fuel2!CW88</f>
        <v>153.785552</v>
      </c>
      <c r="AV16" s="7">
        <f>MECS_Annual_Fuel2!CX88</f>
        <v>143.10994103075981</v>
      </c>
      <c r="AW16" s="7">
        <f>MECS_Annual_Fuel2!CY88</f>
        <v>118.89421130373546</v>
      </c>
      <c r="AX16" s="7">
        <f>MECS_Annual_Fuel2!CZ88</f>
        <v>111.58171088640285</v>
      </c>
      <c r="AY16" s="7">
        <f>MECS_Annual_Fuel2!DA88</f>
        <v>116</v>
      </c>
      <c r="AZ16" s="7">
        <f>MECS_Annual_Fuel2!DB88</f>
        <v>114.33836166733738</v>
      </c>
      <c r="BA16" s="7">
        <f>MECS_Annual_Fuel2!DC88</f>
        <v>109.54490865472242</v>
      </c>
      <c r="BB16" s="7">
        <f>MECS_Annual_Fuel2!DD88</f>
        <v>111.07562545949031</v>
      </c>
      <c r="BC16" s="7">
        <f>MECS_Annual_Fuel2!DE88</f>
        <v>104</v>
      </c>
      <c r="BD16" s="7">
        <f>MECS_Annual_Fuel2!DF88</f>
        <v>118.14538873303597</v>
      </c>
      <c r="BE16" s="7">
        <f>MECS_Annual_Fuel2!DG88</f>
        <v>134.51930028316804</v>
      </c>
      <c r="BF16" s="7">
        <f>MECS_Annual_Fuel2!DH88</f>
        <v>157.39604481768811</v>
      </c>
      <c r="BP16">
        <v>1976</v>
      </c>
      <c r="BQ16" s="49">
        <v>923.77521271776016</v>
      </c>
      <c r="BR16" s="49">
        <v>204.37397843656774</v>
      </c>
      <c r="BS16" s="49">
        <v>42.659798028422571</v>
      </c>
      <c r="BT16" s="49">
        <v>239.13695933624362</v>
      </c>
      <c r="BU16" s="49">
        <v>1854.0595741469392</v>
      </c>
      <c r="BV16" s="49">
        <v>19.308652681177552</v>
      </c>
      <c r="BW16" s="49">
        <v>3008.8241187041867</v>
      </c>
      <c r="BX16" s="49">
        <v>2805.1630195756998</v>
      </c>
      <c r="BY16" s="49">
        <v>171.86133237124594</v>
      </c>
      <c r="BZ16" s="49">
        <v>1081.96606517787</v>
      </c>
      <c r="CA16" s="49">
        <v>3401.9293768233933</v>
      </c>
      <c r="CB16" s="49">
        <v>278.00111223816049</v>
      </c>
      <c r="CC16" s="49">
        <v>180.21861384703968</v>
      </c>
      <c r="CD16" s="49">
        <v>54.859566379897664</v>
      </c>
      <c r="CE16" s="49">
        <v>87.675471319961019</v>
      </c>
      <c r="CF16" s="49">
        <v>287.01035993942787</v>
      </c>
      <c r="CG16" s="49">
        <v>37.911695008283047</v>
      </c>
      <c r="CH16" s="49">
        <v>38.759360672188258</v>
      </c>
      <c r="CJ16">
        <f t="shared" si="3"/>
        <v>1976</v>
      </c>
      <c r="CK16" s="7">
        <f t="shared" si="4"/>
        <v>14717.494267404461</v>
      </c>
      <c r="CL16" s="44">
        <f>AER11_Table2.1d!U39*0.001</f>
        <v>22665.169000000002</v>
      </c>
      <c r="CM16">
        <f t="shared" si="5"/>
        <v>0.64934412213756099</v>
      </c>
    </row>
    <row r="17" spans="6:91" x14ac:dyDescent="0.2">
      <c r="F17" t="s">
        <v>111</v>
      </c>
      <c r="G17" s="66">
        <f>fallhap3b!X198</f>
        <v>1130.8</v>
      </c>
      <c r="H17" s="66">
        <f>fallhap3b!Y198</f>
        <v>1183.4180000000001</v>
      </c>
      <c r="I17" s="66">
        <f>fallhap3b!Z198</f>
        <v>1223.6130000000001</v>
      </c>
      <c r="J17" s="66">
        <f>fallhap3b!AA198</f>
        <v>1173.731</v>
      </c>
      <c r="K17" s="66">
        <f>fallhap3b!AB198</f>
        <v>1180.029</v>
      </c>
      <c r="L17" s="66">
        <f>fallhap3b!AC198</f>
        <v>1047.886</v>
      </c>
      <c r="M17" s="66">
        <f>fallhap3b!AD198</f>
        <v>1094.931</v>
      </c>
      <c r="N17" s="66">
        <f>fallhap3b!AE198</f>
        <v>1121.758</v>
      </c>
      <c r="O17" s="66">
        <f>fallhap3b!AF198</f>
        <v>1135.1320000000001</v>
      </c>
      <c r="P17" s="66">
        <f>fallhap3b!AG198</f>
        <v>1123.7539999999999</v>
      </c>
      <c r="Q17" s="66">
        <f>fallhap3b!AH198</f>
        <v>996.63300000000004</v>
      </c>
      <c r="R17" s="66">
        <f>fallhap3b!AI198</f>
        <v>950.66399999999999</v>
      </c>
      <c r="S17" s="66">
        <f>fallhap3b!AJ198</f>
        <v>794.495</v>
      </c>
      <c r="T17" s="66">
        <f>fallhap3b!AK198</f>
        <v>867.23099999999999</v>
      </c>
      <c r="U17" s="66">
        <f>fallhap3b!AL198</f>
        <v>877.29299999999989</v>
      </c>
      <c r="V17" s="66">
        <f>fallhap3b!AM198</f>
        <v>800.49400000000003</v>
      </c>
      <c r="W17" s="71"/>
      <c r="X17" s="38">
        <f t="shared" si="2"/>
        <v>0.98815913073779982</v>
      </c>
      <c r="Z17" s="7">
        <f>MECS_Annual_Fuel2!CB89</f>
        <v>791.01545520082436</v>
      </c>
      <c r="AA17" s="7">
        <f>MECS_Annual_Fuel2!CC89</f>
        <v>833.84549437982139</v>
      </c>
      <c r="AB17" s="7">
        <f>MECS_Annual_Fuel2!CD89</f>
        <v>865.36110422201477</v>
      </c>
      <c r="AC17" s="7">
        <f>MECS_Annual_Fuel2!CE89</f>
        <v>884.64406029384702</v>
      </c>
      <c r="AD17" s="7">
        <f>MECS_Annual_Fuel2!CF89</f>
        <v>872.26871686531888</v>
      </c>
      <c r="AE17" s="7">
        <f>MECS_Annual_Fuel2!CG89</f>
        <v>839.79715936733282</v>
      </c>
      <c r="AF17" s="7">
        <f>MECS_Annual_Fuel2!CH89</f>
        <v>788.81428212035598</v>
      </c>
      <c r="AG17" s="7">
        <f>MECS_Annual_Fuel2!CI89</f>
        <v>834.39754001449057</v>
      </c>
      <c r="AH17" s="7">
        <f>MECS_Annual_Fuel2!CJ89</f>
        <v>866.94246720947717</v>
      </c>
      <c r="AI17" s="7">
        <f>MECS_Annual_Fuel2!CK89</f>
        <v>822.05619657793363</v>
      </c>
      <c r="AJ17" s="7">
        <f>MECS_Annual_Fuel2!CL89</f>
        <v>836.37810053118699</v>
      </c>
      <c r="AK17" s="7">
        <f>MECS_Annual_Fuel2!CM89</f>
        <v>768.59394669215737</v>
      </c>
      <c r="AL17" s="7">
        <f>MECS_Annual_Fuel2!CN89</f>
        <v>781.48054541412921</v>
      </c>
      <c r="AM17" s="7">
        <f>MECS_Annual_Fuel2!CO89</f>
        <v>834.98687599999994</v>
      </c>
      <c r="AN17" s="7">
        <f>MECS_Annual_Fuel2!CP89</f>
        <v>887.75742962271181</v>
      </c>
      <c r="AO17" s="7">
        <f>MECS_Annual_Fuel2!CQ89</f>
        <v>860.3030388807673</v>
      </c>
      <c r="AP17" s="7">
        <f>MECS_Annual_Fuel2!CR89</f>
        <v>844.57954689595817</v>
      </c>
      <c r="AQ17" s="7">
        <f>MECS_Annual_Fuel2!CS89</f>
        <v>910.76708400000007</v>
      </c>
      <c r="AR17" s="7">
        <f>MECS_Annual_Fuel2!CT89</f>
        <v>843.66258808021871</v>
      </c>
      <c r="AS17" s="7">
        <f>MECS_Annual_Fuel2!CU89</f>
        <v>846.35668023327139</v>
      </c>
      <c r="AT17" s="7">
        <f>MECS_Annual_Fuel2!CV89</f>
        <v>887.23108283057456</v>
      </c>
      <c r="AU17" s="7">
        <f>MECS_Annual_Fuel2!CW89</f>
        <v>958.36588800000004</v>
      </c>
      <c r="AV17" s="7">
        <f>MECS_Annual_Fuel2!CX89</f>
        <v>888.6890971564701</v>
      </c>
      <c r="AW17" s="7">
        <f>MECS_Annual_Fuel2!CY89</f>
        <v>744.58615673498946</v>
      </c>
      <c r="AX17" s="7">
        <f>MECS_Annual_Fuel2!CZ89</f>
        <v>646.20773136287312</v>
      </c>
      <c r="AY17" s="7">
        <f>MECS_Annual_Fuel2!DA89</f>
        <v>600</v>
      </c>
      <c r="AZ17" s="7">
        <f>MECS_Annual_Fuel2!DB89</f>
        <v>611.9249777848737</v>
      </c>
      <c r="BA17" s="7">
        <f>MECS_Annual_Fuel2!DC89</f>
        <v>624.0796384681654</v>
      </c>
      <c r="BB17" s="7">
        <f>MECS_Annual_Fuel2!DD89</f>
        <v>679.69946888069933</v>
      </c>
      <c r="BC17" s="7">
        <f>MECS_Annual_Fuel2!DE89</f>
        <v>699</v>
      </c>
      <c r="BD17" s="7">
        <f>MECS_Annual_Fuel2!DF89</f>
        <v>721.54524566856969</v>
      </c>
      <c r="BE17" s="7">
        <f>MECS_Annual_Fuel2!DG89</f>
        <v>777.91367304417702</v>
      </c>
      <c r="BF17" s="7">
        <f>MECS_Annual_Fuel2!DH89</f>
        <v>714.07677883262534</v>
      </c>
      <c r="BP17">
        <v>1977</v>
      </c>
      <c r="BQ17" s="49">
        <v>933.31874357025549</v>
      </c>
      <c r="BR17" s="49">
        <v>215.23241681106174</v>
      </c>
      <c r="BS17" s="49">
        <v>46.520198171871066</v>
      </c>
      <c r="BT17" s="49">
        <v>237.29039335944378</v>
      </c>
      <c r="BU17" s="49">
        <v>1903.5055023121824</v>
      </c>
      <c r="BV17" s="49">
        <v>23.373896798763397</v>
      </c>
      <c r="BW17" s="49">
        <v>3111.3747991054629</v>
      </c>
      <c r="BX17" s="49">
        <v>2736.8753227042434</v>
      </c>
      <c r="BY17" s="49">
        <v>195.61017717490614</v>
      </c>
      <c r="BZ17" s="49">
        <v>1108.475410178173</v>
      </c>
      <c r="CA17" s="49">
        <v>3345.2362405259669</v>
      </c>
      <c r="CB17" s="49">
        <v>285.25328852059283</v>
      </c>
      <c r="CC17" s="49">
        <v>163.98140169242498</v>
      </c>
      <c r="CD17" s="49">
        <v>52.983336111267811</v>
      </c>
      <c r="CE17" s="49">
        <v>84.714250197230314</v>
      </c>
      <c r="CF17" s="49">
        <v>304.37811782877924</v>
      </c>
      <c r="CG17" s="49">
        <v>41.259059285128885</v>
      </c>
      <c r="CH17" s="49">
        <v>43.487571811087662</v>
      </c>
      <c r="CJ17">
        <f t="shared" si="3"/>
        <v>1977</v>
      </c>
      <c r="CK17" s="7">
        <f t="shared" si="4"/>
        <v>14832.870126158838</v>
      </c>
      <c r="CL17" s="44">
        <f>AER11_Table2.1d!U40*0.001</f>
        <v>23165.296000000002</v>
      </c>
      <c r="CM17">
        <f t="shared" si="5"/>
        <v>0.6403056592136287</v>
      </c>
    </row>
    <row r="18" spans="6:91" x14ac:dyDescent="0.2">
      <c r="F18" t="s">
        <v>112</v>
      </c>
      <c r="G18" s="66">
        <f>fallhap3b!X199</f>
        <v>3500.2030000000004</v>
      </c>
      <c r="H18" s="66">
        <f>fallhap3b!Y199</f>
        <v>3268.058</v>
      </c>
      <c r="I18" s="66">
        <f>fallhap3b!Z199</f>
        <v>3428.297</v>
      </c>
      <c r="J18" s="66">
        <f>fallhap3b!AA199</f>
        <v>3723.2270000000003</v>
      </c>
      <c r="K18" s="66">
        <f>fallhap3b!AB199</f>
        <v>3585.6839999999997</v>
      </c>
      <c r="L18" s="66">
        <f>fallhap3b!AC199</f>
        <v>3004.2560000000003</v>
      </c>
      <c r="M18" s="66">
        <f>fallhap3b!AD199</f>
        <v>3080.8889999999997</v>
      </c>
      <c r="N18" s="66">
        <f>fallhap3b!AE199</f>
        <v>3029.5459999999998</v>
      </c>
      <c r="O18" s="66">
        <f>fallhap3b!AF199</f>
        <v>3186.489</v>
      </c>
      <c r="P18" s="66">
        <f>fallhap3b!AG199</f>
        <v>3218.0230000000001</v>
      </c>
      <c r="Q18" s="66">
        <f>fallhap3b!AH199</f>
        <v>2613.404</v>
      </c>
      <c r="R18" s="66">
        <f>fallhap3b!AI199</f>
        <v>2593.2039999999997</v>
      </c>
      <c r="S18" s="66">
        <f>fallhap3b!AJ199</f>
        <v>1756.1860000000001</v>
      </c>
      <c r="T18" s="66">
        <f>fallhap3b!AK199</f>
        <v>1930.2429999999999</v>
      </c>
      <c r="U18" s="66">
        <f>fallhap3b!AL199</f>
        <v>1930.7450000000001</v>
      </c>
      <c r="V18" s="66">
        <f>fallhap3b!AM199</f>
        <v>1749.29</v>
      </c>
      <c r="W18" s="71"/>
      <c r="X18" s="38">
        <f t="shared" si="2"/>
        <v>1.1042038115697754</v>
      </c>
      <c r="Z18" s="7">
        <f>MECS_Annual_Fuel2!CB90</f>
        <v>1931.5726855408925</v>
      </c>
      <c r="AA18" s="7">
        <f>MECS_Annual_Fuel2!CC90</f>
        <v>1819.4681276410374</v>
      </c>
      <c r="AB18" s="7">
        <f>MECS_Annual_Fuel2!CD90</f>
        <v>1819.8952963174174</v>
      </c>
      <c r="AC18" s="7">
        <f>MECS_Annual_Fuel2!CE90</f>
        <v>2134.8918237453663</v>
      </c>
      <c r="AD18" s="7">
        <f>MECS_Annual_Fuel2!CF90</f>
        <v>2135.9489196898717</v>
      </c>
      <c r="AE18" s="7">
        <f>MECS_Annual_Fuel2!CG90</f>
        <v>2058.910056035751</v>
      </c>
      <c r="AF18" s="7">
        <f>MECS_Annual_Fuel2!CH90</f>
        <v>1811.54797443144</v>
      </c>
      <c r="AG18" s="7">
        <f>MECS_Annual_Fuel2!CI90</f>
        <v>1860.7007555363432</v>
      </c>
      <c r="AH18" s="7">
        <f>MECS_Annual_Fuel2!CJ90</f>
        <v>1980.5512991134312</v>
      </c>
      <c r="AI18" s="7">
        <f>MECS_Annual_Fuel2!CK90</f>
        <v>2096.657607556745</v>
      </c>
      <c r="AJ18" s="7">
        <f>MECS_Annual_Fuel2!CL90</f>
        <v>2018.3220014173257</v>
      </c>
      <c r="AK18" s="7">
        <f>MECS_Annual_Fuel2!CM90</f>
        <v>2087.7303780101934</v>
      </c>
      <c r="AL18" s="7">
        <f>MECS_Annual_Fuel2!CN90</f>
        <v>2032.416827386887</v>
      </c>
      <c r="AM18" s="7">
        <f>MECS_Annual_Fuel2!CO90</f>
        <v>2031.356088</v>
      </c>
      <c r="AN18" s="7">
        <f>MECS_Annual_Fuel2!CP90</f>
        <v>1927.9607115402796</v>
      </c>
      <c r="AO18" s="7">
        <f>MECS_Annual_Fuel2!CQ90</f>
        <v>1984.8032031815608</v>
      </c>
      <c r="AP18" s="7">
        <f>MECS_Annual_Fuel2!CR90</f>
        <v>1881.1112478914877</v>
      </c>
      <c r="AQ18" s="7">
        <f>MECS_Annual_Fuel2!CS90</f>
        <v>1629.9591760000001</v>
      </c>
      <c r="AR18" s="7">
        <f>MECS_Annual_Fuel2!CT90</f>
        <v>1681.9663811639548</v>
      </c>
      <c r="AS18" s="7">
        <f>MECS_Annual_Fuel2!CU90</f>
        <v>1709.7117812587637</v>
      </c>
      <c r="AT18" s="7">
        <f>MECS_Annual_Fuel2!CV90</f>
        <v>1414.7412336622619</v>
      </c>
      <c r="AU18" s="7">
        <f>MECS_Annual_Fuel2!CW90</f>
        <v>1285.6831</v>
      </c>
      <c r="AV18" s="7">
        <f>MECS_Annual_Fuel2!CX90</f>
        <v>1398.596658536504</v>
      </c>
      <c r="AW18" s="7">
        <f>MECS_Annual_Fuel2!CY90</f>
        <v>1367.2205669627242</v>
      </c>
      <c r="AX18" s="7">
        <f>MECS_Annual_Fuel2!CZ90</f>
        <v>960.90080405798346</v>
      </c>
      <c r="AY18" s="7">
        <f>MECS_Annual_Fuel2!DA90</f>
        <v>1255</v>
      </c>
      <c r="AZ18" s="7">
        <f>MECS_Annual_Fuel2!DB90</f>
        <v>1260.1959118059083</v>
      </c>
      <c r="BA18" s="7">
        <f>MECS_Annual_Fuel2!DC90</f>
        <v>1098.7242374193011</v>
      </c>
      <c r="BB18" s="7">
        <f>MECS_Annual_Fuel2!DD90</f>
        <v>1200.1910170523031</v>
      </c>
      <c r="BC18" s="7">
        <f>MECS_Annual_Fuel2!DE90</f>
        <v>1251</v>
      </c>
      <c r="BD18" s="7">
        <f>MECS_Annual_Fuel2!DF90</f>
        <v>1037.5190144924757</v>
      </c>
      <c r="BE18" s="7">
        <f>MECS_Annual_Fuel2!DG90</f>
        <v>971.67780208199395</v>
      </c>
      <c r="BF18" s="7">
        <f>MECS_Annual_Fuel2!DH90</f>
        <v>984.99162402591401</v>
      </c>
      <c r="BP18">
        <f>BP17+1</f>
        <v>1978</v>
      </c>
      <c r="BQ18" s="49">
        <v>960.85021509213618</v>
      </c>
      <c r="BR18" s="49">
        <v>211.3871625823902</v>
      </c>
      <c r="BS18" s="49">
        <v>48.402341278745268</v>
      </c>
      <c r="BT18" s="49">
        <v>258.81464465008872</v>
      </c>
      <c r="BU18" s="49">
        <v>1957.3812065519662</v>
      </c>
      <c r="BV18" s="49">
        <v>23.509136802180493</v>
      </c>
      <c r="BW18" s="49">
        <v>3101.6695336136172</v>
      </c>
      <c r="BX18" s="49">
        <v>2621.971176355411</v>
      </c>
      <c r="BY18" s="49">
        <v>183.32151269547202</v>
      </c>
      <c r="BZ18" s="49">
        <v>1121.6910503926601</v>
      </c>
      <c r="CA18" s="49">
        <v>3518.5332993251623</v>
      </c>
      <c r="CB18" s="49">
        <v>295.90446588048593</v>
      </c>
      <c r="CC18" s="49">
        <v>169.4214943772657</v>
      </c>
      <c r="CD18" s="49">
        <v>56.9354068358452</v>
      </c>
      <c r="CE18" s="49">
        <v>86.547545354139999</v>
      </c>
      <c r="CF18" s="49">
        <v>312.69301477526511</v>
      </c>
      <c r="CG18" s="49">
        <v>43.625017700421623</v>
      </c>
      <c r="CH18" s="49">
        <v>45.474670329507163</v>
      </c>
      <c r="CJ18">
        <f t="shared" si="3"/>
        <v>1978</v>
      </c>
      <c r="CK18" s="7">
        <f t="shared" si="4"/>
        <v>15018.13289459276</v>
      </c>
      <c r="CL18" s="44">
        <f>AER11_Table2.1d!U41*0.001</f>
        <v>23244.019</v>
      </c>
      <c r="CM18">
        <f t="shared" si="5"/>
        <v>0.64610740916158949</v>
      </c>
    </row>
    <row r="19" spans="6:91" x14ac:dyDescent="0.2">
      <c r="F19" t="s">
        <v>113</v>
      </c>
      <c r="G19" s="66">
        <f>fallhap3b!X200</f>
        <v>352.20099999999996</v>
      </c>
      <c r="H19" s="66">
        <f>fallhap3b!Y200</f>
        <v>338.04900000000021</v>
      </c>
      <c r="I19" s="66">
        <f>fallhap3b!Z200</f>
        <v>351.06400000000031</v>
      </c>
      <c r="J19" s="66">
        <f>fallhap3b!AA200</f>
        <v>332.5269999999997</v>
      </c>
      <c r="K19" s="66">
        <f>fallhap3b!AB200</f>
        <v>299.91999999999979</v>
      </c>
      <c r="L19" s="66">
        <f>fallhap3b!AC200</f>
        <v>281.43400000000042</v>
      </c>
      <c r="M19" s="66">
        <f>fallhap3b!AD200</f>
        <v>283.89699999999988</v>
      </c>
      <c r="N19" s="66">
        <f>fallhap3b!AE200</f>
        <v>291.30298148503033</v>
      </c>
      <c r="O19" s="66">
        <f>fallhap3b!AF200</f>
        <v>302.1800505535565</v>
      </c>
      <c r="P19" s="66">
        <f>fallhap3b!AG200</f>
        <v>293.39466731729465</v>
      </c>
      <c r="Q19" s="66">
        <f>fallhap3b!AH200</f>
        <v>274.22409723489739</v>
      </c>
      <c r="R19" s="66">
        <f>fallhap3b!AI200</f>
        <v>263.68937887075401</v>
      </c>
      <c r="S19" s="66">
        <f>fallhap3b!AJ200</f>
        <v>260.52167297753402</v>
      </c>
      <c r="T19" s="66">
        <f>fallhap3b!AK200</f>
        <v>258.73913005125894</v>
      </c>
      <c r="U19" s="66">
        <f>fallhap3b!AL200</f>
        <v>249.20168392249036</v>
      </c>
      <c r="V19" s="66">
        <f>fallhap3b!AM200</f>
        <v>223.25865387386554</v>
      </c>
      <c r="W19" s="71"/>
      <c r="X19" s="38">
        <f t="shared" si="2"/>
        <v>0.97923229987692939</v>
      </c>
      <c r="Z19" s="7">
        <f>MECS_Annual_Fuel2!CB91</f>
        <v>218.6220851003327</v>
      </c>
      <c r="AA19" s="7">
        <f>MECS_Annual_Fuel2!CC91</f>
        <v>236.43141790334087</v>
      </c>
      <c r="AB19" s="7">
        <f>MECS_Annual_Fuel2!CD91</f>
        <v>242.60813301921721</v>
      </c>
      <c r="AC19" s="7">
        <f>MECS_Annual_Fuel2!CE91</f>
        <v>251.14969713900282</v>
      </c>
      <c r="AD19" s="7">
        <f>MECS_Annual_Fuel2!CF91</f>
        <v>241.61252681571094</v>
      </c>
      <c r="AE19" s="7">
        <f>MECS_Annual_Fuel2!CG91</f>
        <v>222.61909858361435</v>
      </c>
      <c r="AF19" s="7">
        <f>MECS_Annual_Fuel2!CH91</f>
        <v>217.28105279356296</v>
      </c>
      <c r="AG19" s="7">
        <f>MECS_Annual_Fuel2!CI91</f>
        <v>221.51344199750795</v>
      </c>
      <c r="AH19" s="7">
        <f>MECS_Annual_Fuel2!CJ91</f>
        <v>238.70978614279537</v>
      </c>
      <c r="AI19" s="7">
        <f>MECS_Annual_Fuel2!CK91</f>
        <v>263.57968281835372</v>
      </c>
      <c r="AJ19" s="7">
        <f>MECS_Annual_Fuel2!CL91</f>
        <v>289.62365431759213</v>
      </c>
      <c r="AK19" s="7">
        <f>MECS_Annual_Fuel2!CM91</f>
        <v>248.28781667305427</v>
      </c>
      <c r="AL19" s="7">
        <f>MECS_Annual_Fuel2!CN91</f>
        <v>234.68145352408129</v>
      </c>
      <c r="AM19" s="7">
        <f>MECS_Annual_Fuel2!CO91</f>
        <v>265.28541200000001</v>
      </c>
      <c r="AN19" s="7">
        <f>MECS_Annual_Fuel2!CP91</f>
        <v>288.74371654908276</v>
      </c>
      <c r="AO19" s="7">
        <f>MECS_Annual_Fuel2!CQ91</f>
        <v>253.16629233678722</v>
      </c>
      <c r="AP19" s="7">
        <f>MECS_Annual_Fuel2!CR91</f>
        <v>236.80312759318167</v>
      </c>
      <c r="AQ19" s="7">
        <f>MECS_Annual_Fuel2!CS91</f>
        <v>226.21632399999999</v>
      </c>
      <c r="AR19" s="7">
        <f>MECS_Annual_Fuel2!CT91</f>
        <v>210.87604467529428</v>
      </c>
      <c r="AS19" s="7">
        <f>MECS_Annual_Fuel2!CU91</f>
        <v>206.00060290700236</v>
      </c>
      <c r="AT19" s="7">
        <f>MECS_Annual_Fuel2!CV91</f>
        <v>209.91812999611622</v>
      </c>
      <c r="AU19" s="7">
        <f>MECS_Annual_Fuel2!CW91</f>
        <v>253.81542000000002</v>
      </c>
      <c r="AV19" s="7">
        <f>MECS_Annual_Fuel2!CX91</f>
        <v>236.27608038255704</v>
      </c>
      <c r="AW19" s="7">
        <f>MECS_Annual_Fuel2!CY91</f>
        <v>186.52536210085808</v>
      </c>
      <c r="AX19" s="7">
        <f>MECS_Annual_Fuel2!CZ91</f>
        <v>192.36823377378479</v>
      </c>
      <c r="AY19" s="7">
        <f>MECS_Annual_Fuel2!DA91</f>
        <v>174</v>
      </c>
      <c r="AZ19" s="7">
        <f>MECS_Annual_Fuel2!DB91</f>
        <v>188.724641806542</v>
      </c>
      <c r="BA19" s="7">
        <f>MECS_Annual_Fuel2!DC91</f>
        <v>193.8473245114659</v>
      </c>
      <c r="BB19" s="7">
        <f>MECS_Annual_Fuel2!DD91</f>
        <v>197.31845463184905</v>
      </c>
      <c r="BC19" s="7">
        <f>MECS_Annual_Fuel2!DE91</f>
        <v>201</v>
      </c>
      <c r="BD19" s="7">
        <f>MECS_Annual_Fuel2!DF91</f>
        <v>243.17904468805639</v>
      </c>
      <c r="BE19" s="7">
        <f>MECS_Annual_Fuel2!DG91</f>
        <v>263.59014611965085</v>
      </c>
      <c r="BF19" s="7">
        <f>MECS_Annual_Fuel2!DH91</f>
        <v>244.97167709150528</v>
      </c>
      <c r="BP19">
        <f t="shared" ref="BP19:BP50" si="6">BP18+1</f>
        <v>1979</v>
      </c>
      <c r="BQ19" s="49">
        <v>927.44320966216321</v>
      </c>
      <c r="BR19" s="49">
        <v>200.02405119146917</v>
      </c>
      <c r="BS19" s="49">
        <v>43.502643258100242</v>
      </c>
      <c r="BT19" s="49">
        <v>258.13584635714432</v>
      </c>
      <c r="BU19" s="49">
        <v>1953.5841253931962</v>
      </c>
      <c r="BV19" s="49">
        <v>25.776040799978485</v>
      </c>
      <c r="BW19" s="49">
        <v>3053.153803736277</v>
      </c>
      <c r="BX19" s="49">
        <v>2641.5642459618775</v>
      </c>
      <c r="BY19" s="49">
        <v>170.57981942704774</v>
      </c>
      <c r="BZ19" s="49">
        <v>1110.4477758031253</v>
      </c>
      <c r="CA19" s="49">
        <v>3553.3532623192036</v>
      </c>
      <c r="CB19" s="49">
        <v>287.30153484874103</v>
      </c>
      <c r="CC19" s="49">
        <v>171.43799219024862</v>
      </c>
      <c r="CD19" s="49">
        <v>53.106404776990686</v>
      </c>
      <c r="CE19" s="49">
        <v>87.165287787165781</v>
      </c>
      <c r="CF19" s="49">
        <v>295.31124400025766</v>
      </c>
      <c r="CG19" s="49">
        <v>41.539353256530084</v>
      </c>
      <c r="CH19" s="49">
        <v>44.174157180206429</v>
      </c>
      <c r="CJ19">
        <f t="shared" si="3"/>
        <v>1979</v>
      </c>
      <c r="CK19" s="7">
        <f t="shared" si="4"/>
        <v>14917.600797949723</v>
      </c>
      <c r="CL19" s="44">
        <f>AER11_Table2.1d!U42*0.001</f>
        <v>24191.813000000002</v>
      </c>
      <c r="CM19">
        <f t="shared" si="5"/>
        <v>0.61663839737640669</v>
      </c>
    </row>
    <row r="20" spans="6:91" x14ac:dyDescent="0.2">
      <c r="F20" t="s">
        <v>114</v>
      </c>
      <c r="G20" s="66">
        <f>fallhap3b!X201</f>
        <v>283.6989999999999</v>
      </c>
      <c r="H20" s="66">
        <f>fallhap3b!Y201</f>
        <v>289.5420000000002</v>
      </c>
      <c r="I20" s="66">
        <f>fallhap3b!Z201</f>
        <v>301.60400000000021</v>
      </c>
      <c r="J20" s="66">
        <f>fallhap3b!AA201</f>
        <v>291.31099999999975</v>
      </c>
      <c r="K20" s="66">
        <f>fallhap3b!AB201</f>
        <v>276.55499999999984</v>
      </c>
      <c r="L20" s="66">
        <f>fallhap3b!AC201</f>
        <v>253.18000000000035</v>
      </c>
      <c r="M20" s="66">
        <f>fallhap3b!AD201</f>
        <v>248.87999999999988</v>
      </c>
      <c r="N20" s="66">
        <f>fallhap3b!AE201</f>
        <v>226.4565817149697</v>
      </c>
      <c r="O20" s="66">
        <f>fallhap3b!AF201</f>
        <v>233.96929218644354</v>
      </c>
      <c r="P20" s="66">
        <f>fallhap3b!AG201</f>
        <v>236.75405434270533</v>
      </c>
      <c r="Q20" s="66">
        <f>fallhap3b!AH201</f>
        <v>220.94440396510262</v>
      </c>
      <c r="R20" s="66">
        <f>fallhap3b!AI201</f>
        <v>207.03309392924601</v>
      </c>
      <c r="S20" s="66">
        <f>fallhap3b!AJ201</f>
        <v>202.61634782246597</v>
      </c>
      <c r="T20" s="66">
        <f>fallhap3b!AK201</f>
        <v>194.8084771487411</v>
      </c>
      <c r="U20" s="66">
        <f>fallhap3b!AL201</f>
        <v>192.46400887750971</v>
      </c>
      <c r="V20" s="66">
        <f>fallhap3b!AM201</f>
        <v>163.7257597261345</v>
      </c>
      <c r="W20" s="71"/>
      <c r="X20" s="38">
        <f t="shared" si="2"/>
        <v>0.72411850629636676</v>
      </c>
      <c r="Z20" s="7">
        <f>MECS_Annual_Fuel2!CB92</f>
        <v>118.55685257512636</v>
      </c>
      <c r="AA20" s="7">
        <f>MECS_Annual_Fuel2!CC92</f>
        <v>131.76262360948817</v>
      </c>
      <c r="AB20" s="7">
        <f>MECS_Annual_Fuel2!CD92</f>
        <v>133.59407668064966</v>
      </c>
      <c r="AC20" s="7">
        <f>MECS_Annual_Fuel2!CE92</f>
        <v>138.88393804304263</v>
      </c>
      <c r="AD20" s="7">
        <f>MECS_Annual_Fuel2!CF92</f>
        <v>135.84765730352257</v>
      </c>
      <c r="AE20" s="7">
        <f>MECS_Annual_Fuel2!CG92</f>
        <v>120.63206911012374</v>
      </c>
      <c r="AF20" s="7">
        <f>MECS_Annual_Fuel2!CH92</f>
        <v>113.47965946591772</v>
      </c>
      <c r="AG20" s="7">
        <f>MECS_Annual_Fuel2!CI92</f>
        <v>107.05467343210731</v>
      </c>
      <c r="AH20" s="7">
        <f>MECS_Annual_Fuel2!CJ92</f>
        <v>108.0675573372492</v>
      </c>
      <c r="AI20" s="7">
        <f>MECS_Annual_Fuel2!CK92</f>
        <v>112.92234511482371</v>
      </c>
      <c r="AJ20" s="7">
        <f>MECS_Annual_Fuel2!CL92</f>
        <v>126.83165939971266</v>
      </c>
      <c r="AK20" s="7">
        <f>MECS_Annual_Fuel2!CM92</f>
        <v>112.60870645818754</v>
      </c>
      <c r="AL20" s="7">
        <f>MECS_Annual_Fuel2!CN92</f>
        <v>106.43670136428443</v>
      </c>
      <c r="AM20" s="7">
        <f>MECS_Annual_Fuel2!CO92</f>
        <v>116.85666400000001</v>
      </c>
      <c r="AN20" s="7">
        <f>MECS_Annual_Fuel2!CP92</f>
        <v>123.53689957565348</v>
      </c>
      <c r="AO20" s="7">
        <f>MECS_Annual_Fuel2!CQ92</f>
        <v>105.82598083764137</v>
      </c>
      <c r="AP20" s="7">
        <f>MECS_Annual_Fuel2!CR92</f>
        <v>100.6870972290484</v>
      </c>
      <c r="AQ20" s="7">
        <f>MECS_Annual_Fuel2!CS92</f>
        <v>91.191044000000005</v>
      </c>
      <c r="AR20" s="7">
        <f>MECS_Annual_Fuel2!CT92</f>
        <v>77.406168726625395</v>
      </c>
      <c r="AS20" s="7">
        <f>MECS_Annual_Fuel2!CU92</f>
        <v>80.038938927797375</v>
      </c>
      <c r="AT20" s="7">
        <f>MECS_Annual_Fuel2!CV92</f>
        <v>81.01961365117613</v>
      </c>
      <c r="AU20" s="7">
        <f>MECS_Annual_Fuel2!CW92</f>
        <v>93.471671999999998</v>
      </c>
      <c r="AV20" s="7">
        <f>MECS_Annual_Fuel2!CX92</f>
        <v>100.2520387130355</v>
      </c>
      <c r="AW20" s="7">
        <f>MECS_Annual_Fuel2!CY92</f>
        <v>78.853051261641937</v>
      </c>
      <c r="AX20" s="7">
        <f>MECS_Annual_Fuel2!CZ92</f>
        <v>87.825004558862744</v>
      </c>
      <c r="AY20" s="7">
        <f>MECS_Annual_Fuel2!DA92</f>
        <v>78</v>
      </c>
      <c r="AZ20" s="7">
        <f>MECS_Annual_Fuel2!DB92</f>
        <v>87.855529195606763</v>
      </c>
      <c r="BA20" s="7">
        <f>MECS_Annual_Fuel2!DC92</f>
        <v>83.277537047934089</v>
      </c>
      <c r="BB20" s="7">
        <f>MECS_Annual_Fuel2!DD92</f>
        <v>85.159713195512765</v>
      </c>
      <c r="BC20" s="7">
        <f>MECS_Annual_Fuel2!DE92</f>
        <v>84</v>
      </c>
      <c r="BD20" s="7">
        <f>MECS_Annual_Fuel2!DF92</f>
        <v>91.210008731150793</v>
      </c>
      <c r="BE20" s="7">
        <f>MECS_Annual_Fuel2!DG92</f>
        <v>95.547646245422513</v>
      </c>
      <c r="BF20" s="7">
        <f>MECS_Annual_Fuel2!DH92</f>
        <v>93.885723189927347</v>
      </c>
      <c r="BP20">
        <f t="shared" si="6"/>
        <v>1980</v>
      </c>
      <c r="BQ20" s="49">
        <v>922.40770166183279</v>
      </c>
      <c r="BR20" s="49">
        <v>184.78026992160108</v>
      </c>
      <c r="BS20" s="49">
        <v>42.470738760111416</v>
      </c>
      <c r="BT20" s="49">
        <v>242.89727792370905</v>
      </c>
      <c r="BU20" s="49">
        <v>1902.3768621022043</v>
      </c>
      <c r="BV20" s="49">
        <v>25.106376545139955</v>
      </c>
      <c r="BW20" s="49">
        <v>2931.8295070227023</v>
      </c>
      <c r="BX20" s="49">
        <v>2483.7558600045877</v>
      </c>
      <c r="BY20" s="49">
        <v>148.87581004766508</v>
      </c>
      <c r="BZ20" s="49">
        <v>984.83199894460563</v>
      </c>
      <c r="CA20" s="49">
        <v>2885.7306579716974</v>
      </c>
      <c r="CB20" s="49">
        <v>268.52909341700325</v>
      </c>
      <c r="CC20" s="49">
        <v>159.98993177375115</v>
      </c>
      <c r="CD20" s="49">
        <v>52.692981163001093</v>
      </c>
      <c r="CE20" s="49">
        <v>79.10024335567347</v>
      </c>
      <c r="CF20" s="49">
        <v>259.04671378326719</v>
      </c>
      <c r="CG20" s="49">
        <v>37.846453060468896</v>
      </c>
      <c r="CH20" s="49">
        <v>42.106648223701853</v>
      </c>
      <c r="CJ20">
        <f t="shared" si="3"/>
        <v>1980</v>
      </c>
      <c r="CK20" s="7">
        <f t="shared" si="4"/>
        <v>13654.375125682722</v>
      </c>
      <c r="CL20" s="44">
        <f>AER11_Table2.1d!U43*0.001</f>
        <v>22594.841</v>
      </c>
      <c r="CM20">
        <f t="shared" si="5"/>
        <v>0.60431383985763487</v>
      </c>
    </row>
    <row r="21" spans="6:91" x14ac:dyDescent="0.2">
      <c r="F21" t="s">
        <v>115</v>
      </c>
      <c r="G21" s="66">
        <f>fallhap3b!X202</f>
        <v>102.86699999999999</v>
      </c>
      <c r="H21" s="66">
        <f>fallhap3b!Y202</f>
        <v>104.08200000000006</v>
      </c>
      <c r="I21" s="66">
        <f>fallhap3b!Z202</f>
        <v>102.52800000000008</v>
      </c>
      <c r="J21" s="66">
        <f>fallhap3b!AA202</f>
        <v>89.15699999999994</v>
      </c>
      <c r="K21" s="66">
        <f>fallhap3b!AB202</f>
        <v>75.04599999999995</v>
      </c>
      <c r="L21" s="66">
        <f>fallhap3b!AC202</f>
        <v>75.716000000000108</v>
      </c>
      <c r="M21" s="66">
        <f>fallhap3b!AD202</f>
        <v>75.248999999999981</v>
      </c>
      <c r="N21" s="66">
        <f>fallhap3b!AE202</f>
        <v>72.675438800000009</v>
      </c>
      <c r="O21" s="66">
        <f>fallhap3b!AF202</f>
        <v>78.096359699999994</v>
      </c>
      <c r="P21" s="66">
        <f>fallhap3b!AG202</f>
        <v>72.844247899999999</v>
      </c>
      <c r="Q21" s="66">
        <f>fallhap3b!AH202</f>
        <v>72.277168799999998</v>
      </c>
      <c r="R21" s="66">
        <f>fallhap3b!AI202</f>
        <v>68.734581600000013</v>
      </c>
      <c r="S21" s="66">
        <f>fallhap3b!AJ202</f>
        <v>77.012437599999998</v>
      </c>
      <c r="T21" s="66">
        <f>fallhap3b!AK202</f>
        <v>78.075475600000004</v>
      </c>
      <c r="U21" s="66">
        <f>fallhap3b!AL202</f>
        <v>78.33429000000001</v>
      </c>
      <c r="V21" s="66">
        <f>fallhap3b!AM202</f>
        <v>75.152831599999999</v>
      </c>
      <c r="W21" s="71"/>
      <c r="X21" s="38">
        <f t="shared" si="2"/>
        <v>0.72904047070256983</v>
      </c>
      <c r="Z21" s="7">
        <f>MECS_Annual_Fuel2!CB93</f>
        <v>54.789455724294967</v>
      </c>
      <c r="AA21" s="7">
        <f>MECS_Annual_Fuel2!CC93</f>
        <v>56.773381394787812</v>
      </c>
      <c r="AB21" s="7">
        <f>MECS_Annual_Fuel2!CD93</f>
        <v>60.400035479019486</v>
      </c>
      <c r="AC21" s="7">
        <f>MECS_Annual_Fuel2!CE93</f>
        <v>62.693189717341816</v>
      </c>
      <c r="AD21" s="7">
        <f>MECS_Annual_Fuel2!CF93</f>
        <v>62.697248115282292</v>
      </c>
      <c r="AE21" s="7">
        <f>MECS_Annual_Fuel2!CG93</f>
        <v>58.165999612572094</v>
      </c>
      <c r="AF21" s="7">
        <f>MECS_Annual_Fuel2!CH93</f>
        <v>56.220714404637988</v>
      </c>
      <c r="AG21" s="7">
        <f>MECS_Annual_Fuel2!CI93</f>
        <v>60.22308177563918</v>
      </c>
      <c r="AH21" s="7">
        <f>MECS_Annual_Fuel2!CJ93</f>
        <v>64.59076180040033</v>
      </c>
      <c r="AI21" s="7">
        <f>MECS_Annual_Fuel2!CK93</f>
        <v>66.930484972733723</v>
      </c>
      <c r="AJ21" s="7">
        <f>MECS_Annual_Fuel2!CL93</f>
        <v>73.038453387793254</v>
      </c>
      <c r="AK21" s="7">
        <f>MECS_Annual_Fuel2!CM93</f>
        <v>72.049060260742735</v>
      </c>
      <c r="AL21" s="7">
        <f>MECS_Annual_Fuel2!CN93</f>
        <v>65.619117583298419</v>
      </c>
      <c r="AM21" s="7">
        <f>MECS_Annual_Fuel2!CO93</f>
        <v>67.813715999999999</v>
      </c>
      <c r="AN21" s="7">
        <f>MECS_Annual_Fuel2!CP93</f>
        <v>75.412349760347183</v>
      </c>
      <c r="AO21" s="7">
        <f>MECS_Annual_Fuel2!CQ93</f>
        <v>77.55543180251361</v>
      </c>
      <c r="AP21" s="7">
        <f>MECS_Annual_Fuel2!CR93</f>
        <v>65.334678752934266</v>
      </c>
      <c r="AQ21" s="7">
        <f>MECS_Annual_Fuel2!CS93</f>
        <v>69.142976000000004</v>
      </c>
      <c r="AR21" s="7">
        <f>MECS_Annual_Fuel2!CT93</f>
        <v>51.968914187404209</v>
      </c>
      <c r="AS21" s="7">
        <f>MECS_Annual_Fuel2!CU93</f>
        <v>42.613564787609363</v>
      </c>
      <c r="AT21" s="7">
        <f>MECS_Annual_Fuel2!CV93</f>
        <v>42.539054285313028</v>
      </c>
      <c r="AU21" s="7">
        <f>MECS_Annual_Fuel2!CW93</f>
        <v>47.139291999999998</v>
      </c>
      <c r="AV21" s="7">
        <f>MECS_Annual_Fuel2!CX93</f>
        <v>59.317149731278079</v>
      </c>
      <c r="AW21" s="7">
        <f>MECS_Annual_Fuel2!CY93</f>
        <v>43.705219316728574</v>
      </c>
      <c r="AX21" s="7">
        <f>MECS_Annual_Fuel2!CZ93</f>
        <v>43.349239751799061</v>
      </c>
      <c r="AY21" s="7">
        <f>MECS_Annual_Fuel2!DA93</f>
        <v>43</v>
      </c>
      <c r="AZ21" s="7">
        <f>MECS_Annual_Fuel2!DB93</f>
        <v>49.219159610574309</v>
      </c>
      <c r="BA21" s="7">
        <f>MECS_Annual_Fuel2!DC93</f>
        <v>52.591791695115887</v>
      </c>
      <c r="BB21" s="7">
        <f>MECS_Annual_Fuel2!DD93</f>
        <v>49.834979659611527</v>
      </c>
      <c r="BC21" s="7">
        <f>MECS_Annual_Fuel2!DE93</f>
        <v>50</v>
      </c>
      <c r="BD21" s="7">
        <f>MECS_Annual_Fuel2!DF93</f>
        <v>67.394282393857807</v>
      </c>
      <c r="BE21" s="7">
        <f>MECS_Annual_Fuel2!DG93</f>
        <v>78.148456594430797</v>
      </c>
      <c r="BF21" s="7">
        <f>MECS_Annual_Fuel2!DH93</f>
        <v>115.00668055372442</v>
      </c>
      <c r="BP21">
        <f t="shared" si="6"/>
        <v>1981</v>
      </c>
      <c r="BQ21" s="49">
        <v>871.84697216243671</v>
      </c>
      <c r="BR21" s="49">
        <v>180.50914249836566</v>
      </c>
      <c r="BS21" s="49">
        <v>42.345051313580534</v>
      </c>
      <c r="BT21" s="49">
        <v>240.63906050766875</v>
      </c>
      <c r="BU21" s="49">
        <v>1945.5459826376425</v>
      </c>
      <c r="BV21" s="49">
        <v>25.110901303618594</v>
      </c>
      <c r="BW21" s="49">
        <v>2462.6978715783816</v>
      </c>
      <c r="BX21" s="49">
        <v>2411.7206101045604</v>
      </c>
      <c r="BY21" s="49">
        <v>143.31845004025831</v>
      </c>
      <c r="BZ21" s="49">
        <v>939.40731186371977</v>
      </c>
      <c r="CA21" s="49">
        <v>2863.4257409779875</v>
      </c>
      <c r="CB21" s="49">
        <v>258.21315692472746</v>
      </c>
      <c r="CC21" s="49">
        <v>149.91649472996102</v>
      </c>
      <c r="CD21" s="49">
        <v>50.110291723208206</v>
      </c>
      <c r="CE21" s="49">
        <v>75.069692323553895</v>
      </c>
      <c r="CF21" s="49">
        <v>245.592678776209</v>
      </c>
      <c r="CG21" s="49">
        <v>35.349587816966157</v>
      </c>
      <c r="CH21" s="49">
        <v>39.419355998762526</v>
      </c>
      <c r="CJ21">
        <f t="shared" si="3"/>
        <v>1981</v>
      </c>
      <c r="CK21" s="7">
        <f t="shared" si="4"/>
        <v>12980.238353281609</v>
      </c>
      <c r="CL21" s="44">
        <f>AER11_Table2.1d!U44*0.001</f>
        <v>21318.164000000001</v>
      </c>
      <c r="CM21">
        <f t="shared" si="5"/>
        <v>0.60888162570105042</v>
      </c>
    </row>
    <row r="22" spans="6:91" x14ac:dyDescent="0.2">
      <c r="F22" t="s">
        <v>116</v>
      </c>
      <c r="G22" s="66">
        <f>fallhap3b!X203</f>
        <v>118.35999999999999</v>
      </c>
      <c r="H22" s="66">
        <f>fallhap3b!Y203</f>
        <v>117.55700000000009</v>
      </c>
      <c r="I22" s="66">
        <f>fallhap3b!Z203</f>
        <v>123.4700000000001</v>
      </c>
      <c r="J22" s="66">
        <f>fallhap3b!AA203</f>
        <v>120.8509999999999</v>
      </c>
      <c r="K22" s="66">
        <f>fallhap3b!AB203</f>
        <v>107.24499999999993</v>
      </c>
      <c r="L22" s="66">
        <f>fallhap3b!AC203</f>
        <v>92.859000000000137</v>
      </c>
      <c r="M22" s="66">
        <f>fallhap3b!AD203</f>
        <v>98.212999999999965</v>
      </c>
      <c r="N22" s="66">
        <f>fallhap3b!AE203</f>
        <v>94.895876000000001</v>
      </c>
      <c r="O22" s="66">
        <f>fallhap3b!AF203</f>
        <v>96.949511008000002</v>
      </c>
      <c r="P22" s="66">
        <f>fallhap3b!AG203</f>
        <v>97.641498591999991</v>
      </c>
      <c r="Q22" s="66">
        <f>fallhap3b!AH203</f>
        <v>88.607133600000012</v>
      </c>
      <c r="R22" s="66">
        <f>fallhap3b!AI203</f>
        <v>84.092159199999998</v>
      </c>
      <c r="S22" s="66">
        <f>fallhap3b!AJ203</f>
        <v>80.024508800000007</v>
      </c>
      <c r="T22" s="66">
        <f>fallhap3b!AK203</f>
        <v>83.614738400000007</v>
      </c>
      <c r="U22" s="66">
        <f>fallhap3b!AL203</f>
        <v>80.710363199999989</v>
      </c>
      <c r="V22" s="66">
        <f>fallhap3b!AM203</f>
        <v>70.481624800000006</v>
      </c>
      <c r="W22" s="71"/>
      <c r="X22" s="38">
        <f t="shared" si="2"/>
        <v>0.892707394336402</v>
      </c>
      <c r="Z22" s="7">
        <f>MECS_Annual_Fuel2!CB94</f>
        <v>62.919467623803939</v>
      </c>
      <c r="AA22" s="7">
        <f>MECS_Annual_Fuel2!CC94</f>
        <v>69.916919680982033</v>
      </c>
      <c r="AB22" s="7">
        <f>MECS_Annual_Fuel2!CD94</f>
        <v>67.361584373291663</v>
      </c>
      <c r="AC22" s="7">
        <f>MECS_Annual_Fuel2!CE94</f>
        <v>64.55717435203718</v>
      </c>
      <c r="AD22" s="7">
        <f>MECS_Annual_Fuel2!CF94</f>
        <v>64.994227835018435</v>
      </c>
      <c r="AE22" s="7">
        <f>MECS_Annual_Fuel2!CG94</f>
        <v>57.975944538459906</v>
      </c>
      <c r="AF22" s="7">
        <f>MECS_Annual_Fuel2!CH94</f>
        <v>55.611292613491038</v>
      </c>
      <c r="AG22" s="7">
        <f>MECS_Annual_Fuel2!CI94</f>
        <v>57.234985489425249</v>
      </c>
      <c r="AH22" s="7">
        <f>MECS_Annual_Fuel2!CJ94</f>
        <v>62.688490345889321</v>
      </c>
      <c r="AI22" s="7">
        <f>MECS_Annual_Fuel2!CK94</f>
        <v>67.848599515192888</v>
      </c>
      <c r="AJ22" s="7">
        <f>MECS_Annual_Fuel2!CL94</f>
        <v>77.856750209741236</v>
      </c>
      <c r="AK22" s="7">
        <f>MECS_Annual_Fuel2!CM94</f>
        <v>67.460163031968875</v>
      </c>
      <c r="AL22" s="7">
        <f>MECS_Annual_Fuel2!CN94</f>
        <v>58.848707074425718</v>
      </c>
      <c r="AM22" s="7">
        <f>MECS_Annual_Fuel2!CO94</f>
        <v>60.671008</v>
      </c>
      <c r="AN22" s="7">
        <f>MECS_Annual_Fuel2!CP94</f>
        <v>66.741514974897328</v>
      </c>
      <c r="AO22" s="7">
        <f>MECS_Annual_Fuel2!CQ94</f>
        <v>60.834662292932563</v>
      </c>
      <c r="AP22" s="7">
        <f>MECS_Annual_Fuel2!CR94</f>
        <v>57.139295822194057</v>
      </c>
      <c r="AQ22" s="7">
        <f>MECS_Annual_Fuel2!CS94</f>
        <v>55.569788000000003</v>
      </c>
      <c r="AR22" s="7">
        <f>MECS_Annual_Fuel2!CT94</f>
        <v>46.141970005738216</v>
      </c>
      <c r="AS22" s="7">
        <f>MECS_Annual_Fuel2!CU94</f>
        <v>40.590875635963556</v>
      </c>
      <c r="AT22" s="7">
        <f>MECS_Annual_Fuel2!CV94</f>
        <v>39.675361294282581</v>
      </c>
      <c r="AU22" s="7">
        <f>MECS_Annual_Fuel2!CW94</f>
        <v>43.097796000000002</v>
      </c>
      <c r="AV22" s="7">
        <f>MECS_Annual_Fuel2!CX94</f>
        <v>45.825803281131591</v>
      </c>
      <c r="AW22" s="7">
        <f>MECS_Annual_Fuel2!CY94</f>
        <v>37.150422470058906</v>
      </c>
      <c r="AX22" s="7">
        <f>MECS_Annual_Fuel2!CZ94</f>
        <v>36.104547894183433</v>
      </c>
      <c r="AY22" s="7">
        <f>MECS_Annual_Fuel2!DA94</f>
        <v>38</v>
      </c>
      <c r="AZ22" s="7">
        <f>MECS_Annual_Fuel2!DB94</f>
        <v>37.494398211204988</v>
      </c>
      <c r="BA22" s="7">
        <f>MECS_Annual_Fuel2!DC94</f>
        <v>33.121930438388155</v>
      </c>
      <c r="BB22" s="7">
        <f>MECS_Annual_Fuel2!DD94</f>
        <v>28.316056303566675</v>
      </c>
      <c r="BC22" s="7">
        <f>MECS_Annual_Fuel2!DE94</f>
        <v>31</v>
      </c>
      <c r="BD22" s="7">
        <f>MECS_Annual_Fuel2!DF94</f>
        <v>36.617221564145147</v>
      </c>
      <c r="BE22" s="7">
        <f>MECS_Annual_Fuel2!DG94</f>
        <v>40.504609252761661</v>
      </c>
      <c r="BF22" s="7">
        <f>MECS_Annual_Fuel2!DH94</f>
        <v>37.768124814892275</v>
      </c>
      <c r="BP22">
        <f t="shared" si="6"/>
        <v>1982</v>
      </c>
      <c r="BQ22" s="49">
        <v>891.93788225512594</v>
      </c>
      <c r="BR22" s="49">
        <v>159.78213317458031</v>
      </c>
      <c r="BS22" s="49">
        <v>34.013769143533565</v>
      </c>
      <c r="BT22" s="49">
        <v>210.02915005482549</v>
      </c>
      <c r="BU22" s="49">
        <v>1845.776193736714</v>
      </c>
      <c r="BV22" s="49">
        <v>26.386883194594706</v>
      </c>
      <c r="BW22" s="49">
        <v>2440.9314981412763</v>
      </c>
      <c r="BX22" s="49">
        <v>2159.1595693274257</v>
      </c>
      <c r="BY22" s="49">
        <v>136.26444012949824</v>
      </c>
      <c r="BZ22" s="49">
        <v>785.08748857552825</v>
      </c>
      <c r="CA22" s="49">
        <v>1939.1872750254779</v>
      </c>
      <c r="CB22" s="49">
        <v>255.11123699757593</v>
      </c>
      <c r="CC22" s="49">
        <v>146.71824713642917</v>
      </c>
      <c r="CD22" s="49">
        <v>56.145183757856287</v>
      </c>
      <c r="CE22" s="49">
        <v>71.438470733898484</v>
      </c>
      <c r="CF22" s="49">
        <v>227.04383602320218</v>
      </c>
      <c r="CG22" s="49">
        <v>32.584803977169017</v>
      </c>
      <c r="CH22" s="49">
        <v>35.311188624615482</v>
      </c>
      <c r="CJ22">
        <f t="shared" si="3"/>
        <v>1982</v>
      </c>
      <c r="CK22" s="7">
        <f t="shared" si="4"/>
        <v>11452.909250009327</v>
      </c>
      <c r="CL22" s="44">
        <f>AER11_Table2.1d!U45*0.001</f>
        <v>19052.82</v>
      </c>
      <c r="CM22">
        <f t="shared" si="5"/>
        <v>0.60111360155658466</v>
      </c>
    </row>
    <row r="23" spans="6:91" x14ac:dyDescent="0.2">
      <c r="F23" t="s">
        <v>117</v>
      </c>
      <c r="G23" s="66">
        <f>fallhap3b!X204</f>
        <v>266.45599999999996</v>
      </c>
      <c r="H23" s="66">
        <f>fallhap3b!Y204</f>
        <v>279.03300000000019</v>
      </c>
      <c r="I23" s="66">
        <f>fallhap3b!Z204</f>
        <v>285.73000000000025</v>
      </c>
      <c r="J23" s="66">
        <f>fallhap3b!AA204</f>
        <v>267.85899999999981</v>
      </c>
      <c r="K23" s="66">
        <f>fallhap3b!AB204</f>
        <v>254.50399999999988</v>
      </c>
      <c r="L23" s="66">
        <f>fallhap3b!AC204</f>
        <v>239.07300000000032</v>
      </c>
      <c r="M23" s="66">
        <f>fallhap3b!AD204</f>
        <v>262.28499999999991</v>
      </c>
      <c r="N23" s="66">
        <f>fallhap3b!AE204</f>
        <v>278.15656079999997</v>
      </c>
      <c r="O23" s="66">
        <f>fallhap3b!AF204</f>
        <v>285.75514625200003</v>
      </c>
      <c r="P23" s="66">
        <f>fallhap3b!AG204</f>
        <v>269.87077974800002</v>
      </c>
      <c r="Q23" s="66">
        <f>fallhap3b!AH204</f>
        <v>236.73036520000002</v>
      </c>
      <c r="R23" s="66">
        <f>fallhap3b!AI204</f>
        <v>224.43536800000001</v>
      </c>
      <c r="S23" s="66">
        <f>fallhap3b!AJ204</f>
        <v>207.48447039999999</v>
      </c>
      <c r="T23" s="66">
        <f>fallhap3b!AK204</f>
        <v>232.71165439999999</v>
      </c>
      <c r="U23" s="66">
        <f>fallhap3b!AL204</f>
        <v>241.38694399999997</v>
      </c>
      <c r="V23" s="66">
        <f>fallhap3b!AM204</f>
        <v>214.73696159999997</v>
      </c>
      <c r="W23" s="71"/>
      <c r="X23" s="38">
        <f t="shared" si="2"/>
        <v>1.0942690582359951</v>
      </c>
      <c r="Z23" s="7">
        <f>MECS_Annual_Fuel2!CB95</f>
        <v>234.98001273849101</v>
      </c>
      <c r="AA23" s="7">
        <f>MECS_Annual_Fuel2!CC95</f>
        <v>244.14932796917603</v>
      </c>
      <c r="AB23" s="7">
        <f>MECS_Annual_Fuel2!CD95</f>
        <v>242.38099655777575</v>
      </c>
      <c r="AC23" s="7">
        <f>MECS_Annual_Fuel2!CE95</f>
        <v>254.78050349600764</v>
      </c>
      <c r="AD23" s="7">
        <f>MECS_Annual_Fuel2!CF95</f>
        <v>251.14742131079424</v>
      </c>
      <c r="AE23" s="7">
        <f>MECS_Annual_Fuel2!CG95</f>
        <v>237.32816845389928</v>
      </c>
      <c r="AF23" s="7">
        <f>MECS_Annual_Fuel2!CH95</f>
        <v>244.13057132985355</v>
      </c>
      <c r="AG23" s="7">
        <f>MECS_Annual_Fuel2!CI95</f>
        <v>253.07663671240181</v>
      </c>
      <c r="AH23" s="7">
        <f>MECS_Annual_Fuel2!CJ95</f>
        <v>281.57130919761488</v>
      </c>
      <c r="AI23" s="7">
        <f>MECS_Annual_Fuel2!CK95</f>
        <v>260.23443301298028</v>
      </c>
      <c r="AJ23" s="7">
        <f>MECS_Annual_Fuel2!CL95</f>
        <v>278.41898668330401</v>
      </c>
      <c r="AK23" s="7">
        <f>MECS_Annual_Fuel2!CM95</f>
        <v>260.19136025138812</v>
      </c>
      <c r="AL23" s="7">
        <f>MECS_Annual_Fuel2!CN95</f>
        <v>258.23641416413506</v>
      </c>
      <c r="AM23" s="7">
        <f>MECS_Annual_Fuel2!CO95</f>
        <v>292.75512400000002</v>
      </c>
      <c r="AN23" s="7">
        <f>MECS_Annual_Fuel2!CP95</f>
        <v>276.64336592279864</v>
      </c>
      <c r="AO23" s="7">
        <f>MECS_Annual_Fuel2!CQ95</f>
        <v>246.84021245432757</v>
      </c>
      <c r="AP23" s="7">
        <f>MECS_Annual_Fuel2!CR95</f>
        <v>257.20038854295694</v>
      </c>
      <c r="AQ23" s="7">
        <f>MECS_Annual_Fuel2!CS95</f>
        <v>251.66670399999998</v>
      </c>
      <c r="AR23" s="7">
        <f>MECS_Annual_Fuel2!CT95</f>
        <v>229.98821579246055</v>
      </c>
      <c r="AS23" s="7">
        <f>MECS_Annual_Fuel2!CU95</f>
        <v>241.72063665115977</v>
      </c>
      <c r="AT23" s="7">
        <f>MECS_Annual_Fuel2!CV95</f>
        <v>235.38043019571958</v>
      </c>
      <c r="AU23" s="7">
        <f>MECS_Annual_Fuel2!CW95</f>
        <v>283.93937199999999</v>
      </c>
      <c r="AV23" s="7">
        <f>MECS_Annual_Fuel2!CX95</f>
        <v>255.92503066606668</v>
      </c>
      <c r="AW23" s="7">
        <f>MECS_Annual_Fuel2!CY95</f>
        <v>178.02133203826156</v>
      </c>
      <c r="AX23" s="7">
        <f>MECS_Annual_Fuel2!CZ95</f>
        <v>172.38272816028737</v>
      </c>
      <c r="AY23" s="7">
        <f>MECS_Annual_Fuel2!DA95</f>
        <v>143</v>
      </c>
      <c r="AZ23" s="7">
        <f>MECS_Annual_Fuel2!DB95</f>
        <v>150.92000632672566</v>
      </c>
      <c r="BA23" s="7">
        <f>MECS_Annual_Fuel2!DC95</f>
        <v>147.50185586468626</v>
      </c>
      <c r="BB23" s="7">
        <f>MECS_Annual_Fuel2!DD95</f>
        <v>152.54903819923609</v>
      </c>
      <c r="BC23" s="7">
        <f>MECS_Annual_Fuel2!DE95</f>
        <v>164</v>
      </c>
      <c r="BD23" s="7">
        <f>MECS_Annual_Fuel2!DF95</f>
        <v>195.87148502702223</v>
      </c>
      <c r="BE23" s="7">
        <f>MECS_Annual_Fuel2!DG95</f>
        <v>208.49515535683466</v>
      </c>
      <c r="BF23" s="7">
        <f>MECS_Annual_Fuel2!DH95</f>
        <v>179.8142879532501</v>
      </c>
      <c r="BP23">
        <f t="shared" si="6"/>
        <v>1983</v>
      </c>
      <c r="BQ23" s="49">
        <v>926.28715741012616</v>
      </c>
      <c r="BR23" s="49">
        <v>178.92517753979021</v>
      </c>
      <c r="BS23" s="49">
        <v>36.976401811761477</v>
      </c>
      <c r="BT23" s="49">
        <v>231.04670582383781</v>
      </c>
      <c r="BU23" s="49">
        <v>2015.7924399069686</v>
      </c>
      <c r="BV23" s="49">
        <v>27.737445560605206</v>
      </c>
      <c r="BW23" s="49">
        <v>2468.9059350476141</v>
      </c>
      <c r="BX23" s="49">
        <v>2238.8395446604609</v>
      </c>
      <c r="BY23" s="49">
        <v>143.92248842557854</v>
      </c>
      <c r="BZ23" s="49">
        <v>856.96223110887286</v>
      </c>
      <c r="CA23" s="49">
        <v>2131.381677855878</v>
      </c>
      <c r="CB23" s="49">
        <v>253.36571338825021</v>
      </c>
      <c r="CC23" s="49">
        <v>141.06442348681631</v>
      </c>
      <c r="CD23" s="49">
        <v>56.920181481751008</v>
      </c>
      <c r="CE23" s="49">
        <v>74.6434952451839</v>
      </c>
      <c r="CF23" s="49">
        <v>254.64916290082834</v>
      </c>
      <c r="CG23" s="49">
        <v>34.528968276392881</v>
      </c>
      <c r="CH23" s="49">
        <v>37.91854792698863</v>
      </c>
      <c r="CJ23">
        <f t="shared" si="3"/>
        <v>1983</v>
      </c>
      <c r="CK23" s="7">
        <f t="shared" si="4"/>
        <v>12109.867697857704</v>
      </c>
      <c r="CL23" s="44">
        <f>AER11_Table2.1d!U46*0.001</f>
        <v>18547.911</v>
      </c>
      <c r="CM23">
        <f t="shared" si="5"/>
        <v>0.65289658214651258</v>
      </c>
    </row>
    <row r="24" spans="6:91" x14ac:dyDescent="0.2">
      <c r="F24" t="s">
        <v>118</v>
      </c>
      <c r="G24" s="66">
        <f>fallhap3b!X205</f>
        <v>45.286679999999997</v>
      </c>
      <c r="H24" s="66">
        <f>fallhap3b!Y205</f>
        <v>49.092040000000033</v>
      </c>
      <c r="I24" s="66">
        <f>fallhap3b!Z205</f>
        <v>54.895080000000043</v>
      </c>
      <c r="J24" s="66">
        <f>fallhap3b!AA205</f>
        <v>48.100439999999963</v>
      </c>
      <c r="K24" s="66">
        <f>fallhap3b!AB205</f>
        <v>48.96211999999997</v>
      </c>
      <c r="L24" s="66">
        <f>fallhap3b!AC205</f>
        <v>41.464000000000055</v>
      </c>
      <c r="M24" s="66">
        <f>fallhap3b!AD205</f>
        <v>41.234419999999979</v>
      </c>
      <c r="N24" s="66">
        <f>fallhap3b!AE205</f>
        <v>44.875160000000001</v>
      </c>
      <c r="O24" s="66">
        <f>fallhap3b!AF205</f>
        <v>47.448480000000004</v>
      </c>
      <c r="P24" s="66">
        <f>fallhap3b!AG205</f>
        <v>45.180019999999999</v>
      </c>
      <c r="Q24" s="66">
        <f>fallhap3b!AH205</f>
        <v>41.163460000000001</v>
      </c>
      <c r="R24" s="66">
        <f>fallhap3b!AI205</f>
        <v>38.447760000000002</v>
      </c>
      <c r="S24" s="66">
        <f>fallhap3b!AJ205</f>
        <v>35.440660000000001</v>
      </c>
      <c r="T24" s="66">
        <f>fallhap3b!AK205</f>
        <v>37.555218245039889</v>
      </c>
      <c r="U24" s="66">
        <f>fallhap3b!AL205</f>
        <v>41.643002376237618</v>
      </c>
      <c r="V24" s="66">
        <f>fallhap3b!AM205</f>
        <v>40.660283116883122</v>
      </c>
      <c r="W24" s="71"/>
      <c r="X24" s="38">
        <f t="shared" si="2"/>
        <v>0.91941865578036674</v>
      </c>
      <c r="Z24" s="7">
        <f>MECS_Annual_Fuel2!CB96</f>
        <v>37.383822846973821</v>
      </c>
      <c r="AA24" s="7">
        <f>MECS_Annual_Fuel2!CC96</f>
        <v>42.985850897299549</v>
      </c>
      <c r="AB24" s="7">
        <f>MECS_Annual_Fuel2!CD96</f>
        <v>46.939987356383909</v>
      </c>
      <c r="AC24" s="7">
        <f>MECS_Annual_Fuel2!CE96</f>
        <v>48.640156995919362</v>
      </c>
      <c r="AD24" s="7">
        <f>MECS_Annual_Fuel2!CF96</f>
        <v>54.790411286187279</v>
      </c>
      <c r="AE24" s="7">
        <f>MECS_Annual_Fuel2!CG96</f>
        <v>52.543324444208949</v>
      </c>
      <c r="AF24" s="7">
        <f>MECS_Annual_Fuel2!CH96</f>
        <v>55.8843501953478</v>
      </c>
      <c r="AG24" s="7">
        <f>MECS_Annual_Fuel2!CI96</f>
        <v>52.652898635297085</v>
      </c>
      <c r="AH24" s="7">
        <f>MECS_Annual_Fuel2!CJ96</f>
        <v>50.694628080839159</v>
      </c>
      <c r="AI24" s="7">
        <f>MECS_Annual_Fuel2!CK96</f>
        <v>47.300771088826892</v>
      </c>
      <c r="AJ24" s="7">
        <f>MECS_Annual_Fuel2!CL96</f>
        <v>55.003014814745541</v>
      </c>
      <c r="AK24" s="7">
        <f>MECS_Annual_Fuel2!CM96</f>
        <v>51.030768858049989</v>
      </c>
      <c r="AL24" s="7">
        <f>MECS_Annual_Fuel2!CN96</f>
        <v>51.656782449462625</v>
      </c>
      <c r="AM24" s="7">
        <f>MECS_Annual_Fuel2!CO96</f>
        <v>58.499848</v>
      </c>
      <c r="AN24" s="7">
        <f>MECS_Annual_Fuel2!CP96</f>
        <v>60.507721609016151</v>
      </c>
      <c r="AO24" s="7">
        <f>MECS_Annual_Fuel2!CQ96</f>
        <v>50.020066867969469</v>
      </c>
      <c r="AP24" s="7">
        <f>MECS_Annual_Fuel2!CR96</f>
        <v>42.856703444423736</v>
      </c>
      <c r="AQ24" s="7">
        <f>MECS_Annual_Fuel2!CS96</f>
        <v>38.904455999999996</v>
      </c>
      <c r="AR24" s="7">
        <f>MECS_Annual_Fuel2!CT96</f>
        <v>29.433026608129488</v>
      </c>
      <c r="AS24" s="7">
        <f>MECS_Annual_Fuel2!CU96</f>
        <v>28.467484332631365</v>
      </c>
      <c r="AT24" s="7">
        <f>MECS_Annual_Fuel2!CV96</f>
        <v>26.177017904743494</v>
      </c>
      <c r="AU24" s="7">
        <f>MECS_Annual_Fuel2!CW96</f>
        <v>28.391231999999999</v>
      </c>
      <c r="AV24" s="7">
        <f>MECS_Annual_Fuel2!CX96</f>
        <v>27.714561877145339</v>
      </c>
      <c r="AW24" s="7">
        <f>MECS_Annual_Fuel2!CY96</f>
        <v>21.906717243100903</v>
      </c>
      <c r="AX24" s="7">
        <f>MECS_Annual_Fuel2!CZ96</f>
        <v>22.324842479284005</v>
      </c>
      <c r="AY24" s="7">
        <f>MECS_Annual_Fuel2!DA96</f>
        <v>19</v>
      </c>
      <c r="AZ24" s="7">
        <f>MECS_Annual_Fuel2!DB96</f>
        <v>19.114039343101386</v>
      </c>
      <c r="BA24" s="7">
        <f>MECS_Annual_Fuel2!DC96</f>
        <v>20.810421304257442</v>
      </c>
      <c r="BB24" s="7">
        <f>MECS_Annual_Fuel2!DD96</f>
        <v>19.613149087444253</v>
      </c>
      <c r="BC24" s="7">
        <f>MECS_Annual_Fuel2!DE96</f>
        <v>20</v>
      </c>
      <c r="BD24" s="7">
        <f>MECS_Annual_Fuel2!DF96</f>
        <v>30.305461091321359</v>
      </c>
      <c r="BE24" s="7">
        <f>MECS_Annual_Fuel2!DG96</f>
        <v>33.128867471795822</v>
      </c>
      <c r="BF24" s="7">
        <f>MECS_Annual_Fuel2!DH96</f>
        <v>28.943222007530053</v>
      </c>
      <c r="BP24">
        <f t="shared" si="6"/>
        <v>1984</v>
      </c>
      <c r="BQ24" s="49">
        <v>919.28113220431328</v>
      </c>
      <c r="BR24" s="49">
        <v>176.12202882047774</v>
      </c>
      <c r="BS24" s="49">
        <v>32.566779212883922</v>
      </c>
      <c r="BT24" s="49">
        <v>243.7496023068787</v>
      </c>
      <c r="BU24" s="49">
        <v>2078.3417168105088</v>
      </c>
      <c r="BV24" s="49">
        <v>31.98743113422907</v>
      </c>
      <c r="BW24" s="49">
        <v>2493.1362462733782</v>
      </c>
      <c r="BX24" s="49">
        <v>2327.8418674047139</v>
      </c>
      <c r="BY24" s="49">
        <v>145.58566260981641</v>
      </c>
      <c r="BZ24" s="49">
        <v>866.90508828235647</v>
      </c>
      <c r="CA24" s="49">
        <v>2131.9359881692862</v>
      </c>
      <c r="CB24" s="49">
        <v>244.02633808062384</v>
      </c>
      <c r="CC24" s="49">
        <v>139.366750624193</v>
      </c>
      <c r="CD24" s="49">
        <v>57.108867653751616</v>
      </c>
      <c r="CE24" s="49">
        <v>72.050738028216614</v>
      </c>
      <c r="CF24" s="49">
        <v>264.14226388134483</v>
      </c>
      <c r="CG24" s="49">
        <v>38.287353267419007</v>
      </c>
      <c r="CH24" s="49">
        <v>38.181347066222365</v>
      </c>
      <c r="CJ24">
        <f t="shared" si="3"/>
        <v>1984</v>
      </c>
      <c r="CK24" s="7">
        <f t="shared" si="4"/>
        <v>12300.61720183061</v>
      </c>
      <c r="CL24" s="44">
        <f>AER11_Table2.1d!U47*0.001</f>
        <v>20173.63</v>
      </c>
      <c r="CM24">
        <f t="shared" si="5"/>
        <v>0.60973742463952241</v>
      </c>
    </row>
    <row r="25" spans="6:91" x14ac:dyDescent="0.2">
      <c r="F25" t="s">
        <v>119</v>
      </c>
      <c r="G25" s="66">
        <f>fallhap3b!X206</f>
        <v>39.081999999999994</v>
      </c>
      <c r="H25" s="66">
        <f>fallhap3b!Y206</f>
        <v>41.153000000000027</v>
      </c>
      <c r="I25" s="66">
        <f>fallhap3b!Z206</f>
        <v>46.900000000000041</v>
      </c>
      <c r="J25" s="66">
        <f>fallhap3b!AA206</f>
        <v>40.065999999999974</v>
      </c>
      <c r="K25" s="66">
        <f>fallhap3b!AB206</f>
        <v>35.384999999999977</v>
      </c>
      <c r="L25" s="66">
        <f>fallhap3b!AC206</f>
        <v>32.040000000000042</v>
      </c>
      <c r="M25" s="66">
        <f>fallhap3b!AD206</f>
        <v>31.736999999999984</v>
      </c>
      <c r="N25" s="66">
        <f>fallhap3b!AE206</f>
        <v>35.608561199999997</v>
      </c>
      <c r="O25" s="66">
        <f>fallhap3b!AF206</f>
        <v>37.2356403</v>
      </c>
      <c r="P25" s="66">
        <f>fallhap3b!AG206</f>
        <v>36.170752100000001</v>
      </c>
      <c r="Q25" s="66">
        <f>fallhap3b!AH206</f>
        <v>34.477831199999997</v>
      </c>
      <c r="R25" s="66">
        <f>fallhap3b!AI206</f>
        <v>32.277418400000002</v>
      </c>
      <c r="S25" s="66">
        <f>fallhap3b!AJ206</f>
        <v>28.9135624</v>
      </c>
      <c r="T25" s="66">
        <f>fallhap3b!AK206</f>
        <v>31.048524400000002</v>
      </c>
      <c r="U25" s="66">
        <f>fallhap3b!AL206</f>
        <v>31.26371</v>
      </c>
      <c r="V25" s="66">
        <f>fallhap3b!AM206</f>
        <v>27.728168400000001</v>
      </c>
      <c r="W25" s="71"/>
      <c r="X25" s="38">
        <f t="shared" si="2"/>
        <v>1.2212673117241162</v>
      </c>
      <c r="Z25" s="7">
        <f>MECS_Annual_Fuel2!CB97</f>
        <v>33.863505680901589</v>
      </c>
      <c r="AA25" s="7">
        <f>MECS_Annual_Fuel2!CC97</f>
        <v>39.628355216449528</v>
      </c>
      <c r="AB25" s="7">
        <f>MECS_Annual_Fuel2!CD97</f>
        <v>43.311356676392833</v>
      </c>
      <c r="AC25" s="7">
        <f>MECS_Annual_Fuel2!CE97</f>
        <v>45.434393503358493</v>
      </c>
      <c r="AD25" s="7">
        <f>MECS_Annual_Fuel2!CF97</f>
        <v>41.18066817037402</v>
      </c>
      <c r="AE25" s="7">
        <f>MECS_Annual_Fuel2!CG97</f>
        <v>38.691516089207084</v>
      </c>
      <c r="AF25" s="7">
        <f>MECS_Annual_Fuel2!CH97</f>
        <v>34.793804965135031</v>
      </c>
      <c r="AG25" s="7">
        <f>MECS_Annual_Fuel2!CI97</f>
        <v>38.845725201786685</v>
      </c>
      <c r="AH25" s="7">
        <f>MECS_Annual_Fuel2!CJ97</f>
        <v>43.649220105879621</v>
      </c>
      <c r="AI25" s="7">
        <f>MECS_Annual_Fuel2!CK97</f>
        <v>48.376910834473634</v>
      </c>
      <c r="AJ25" s="7">
        <f>MECS_Annual_Fuel2!CL97</f>
        <v>54.003433472495793</v>
      </c>
      <c r="AK25" s="7">
        <f>MECS_Annual_Fuel2!CM97</f>
        <v>44.191956365805062</v>
      </c>
      <c r="AL25" s="7">
        <f>MECS_Annual_Fuel2!CN97</f>
        <v>42.319065802984603</v>
      </c>
      <c r="AM25" s="7">
        <f>MECS_Annual_Fuel2!CO97</f>
        <v>47.700868</v>
      </c>
      <c r="AN25" s="7">
        <f>MECS_Annual_Fuel2!CP97</f>
        <v>46.745155175063296</v>
      </c>
      <c r="AO25" s="7">
        <f>MECS_Annual_Fuel2!CQ97</f>
        <v>38.101014045070116</v>
      </c>
      <c r="AP25" s="7">
        <f>MECS_Annual_Fuel2!CR97</f>
        <v>33.200659911387405</v>
      </c>
      <c r="AQ25" s="7">
        <f>MECS_Annual_Fuel2!CS97</f>
        <v>35.603912000000001</v>
      </c>
      <c r="AR25" s="7">
        <f>MECS_Annual_Fuel2!CT97</f>
        <v>30.337702942254708</v>
      </c>
      <c r="AS25" s="7">
        <f>MECS_Annual_Fuel2!CU97</f>
        <v>28.689353232890731</v>
      </c>
      <c r="AT25" s="7">
        <f>MECS_Annual_Fuel2!CV97</f>
        <v>27.696006039892389</v>
      </c>
      <c r="AU25" s="7">
        <f>MECS_Annual_Fuel2!CW97</f>
        <v>32.982075999999999</v>
      </c>
      <c r="AV25" s="7">
        <f>MECS_Annual_Fuel2!CX97</f>
        <v>31.838460359608138</v>
      </c>
      <c r="AW25" s="7">
        <f>MECS_Annual_Fuel2!CY97</f>
        <v>20.608192835341118</v>
      </c>
      <c r="AX25" s="7">
        <f>MECS_Annual_Fuel2!CZ97</f>
        <v>22.524890856185063</v>
      </c>
      <c r="AY25" s="7">
        <f>MECS_Annual_Fuel2!DA97</f>
        <v>17</v>
      </c>
      <c r="AZ25" s="7">
        <f>MECS_Annual_Fuel2!DB97</f>
        <v>20.193387797529102</v>
      </c>
      <c r="BA25" s="7">
        <f>MECS_Annual_Fuel2!DC97</f>
        <v>22.881220733375581</v>
      </c>
      <c r="BB25" s="7">
        <f>MECS_Annual_Fuel2!DD97</f>
        <v>27.617340891758243</v>
      </c>
      <c r="BC25" s="7">
        <f>MECS_Annual_Fuel2!DE97</f>
        <v>28</v>
      </c>
      <c r="BD25" s="7">
        <f>MECS_Annual_Fuel2!DF97</f>
        <v>34.370638862344556</v>
      </c>
      <c r="BE25" s="7">
        <f>MECS_Annual_Fuel2!DG97</f>
        <v>39.212485077900489</v>
      </c>
      <c r="BF25" s="7">
        <f>MECS_Annual_Fuel2!DH97</f>
        <v>38.943663904859179</v>
      </c>
      <c r="BP25">
        <f t="shared" si="6"/>
        <v>1985</v>
      </c>
      <c r="BQ25" s="49">
        <v>814.40918409036976</v>
      </c>
      <c r="BR25" s="49">
        <v>156.1414043262503</v>
      </c>
      <c r="BS25" s="49">
        <v>27.870927218965463</v>
      </c>
      <c r="BT25" s="49">
        <v>248.7998733914439</v>
      </c>
      <c r="BU25" s="49">
        <v>2017.3632372266716</v>
      </c>
      <c r="BV25" s="49">
        <v>26.699079874753142</v>
      </c>
      <c r="BW25" s="49">
        <v>2519.6333802647096</v>
      </c>
      <c r="BX25" s="49">
        <v>1982.3306729500532</v>
      </c>
      <c r="BY25" s="49">
        <v>128.43055874180072</v>
      </c>
      <c r="BZ25" s="49">
        <v>791.01545520082436</v>
      </c>
      <c r="CA25" s="49">
        <v>1931.5726855408925</v>
      </c>
      <c r="CB25" s="49">
        <v>218.6220851003327</v>
      </c>
      <c r="CC25" s="49">
        <v>118.55685257512636</v>
      </c>
      <c r="CD25" s="49">
        <v>54.78945572429496</v>
      </c>
      <c r="CE25" s="49">
        <v>62.919467623803939</v>
      </c>
      <c r="CF25" s="49">
        <v>234.98001273849101</v>
      </c>
      <c r="CG25" s="49">
        <v>37.383822846973821</v>
      </c>
      <c r="CH25" s="49">
        <v>33.863505680901589</v>
      </c>
      <c r="CJ25">
        <f t="shared" si="3"/>
        <v>1985</v>
      </c>
      <c r="CK25" s="7">
        <f t="shared" si="4"/>
        <v>11405.381661116657</v>
      </c>
      <c r="CL25" s="44">
        <f>AER11_Table2.1d!U48*0.001</f>
        <v>19442.850999999999</v>
      </c>
      <c r="CM25">
        <f t="shared" si="5"/>
        <v>0.58661055732601441</v>
      </c>
    </row>
    <row r="26" spans="6:91" x14ac:dyDescent="0.2">
      <c r="F26" t="s">
        <v>121</v>
      </c>
      <c r="G26" s="15">
        <f>SUM(G8:G25)</f>
        <v>14249.999384449244</v>
      </c>
      <c r="H26" s="15">
        <f t="shared" ref="H26:M26" si="7">SUM(H8:H25)</f>
        <v>14285.558826086955</v>
      </c>
      <c r="I26" s="15">
        <f t="shared" si="7"/>
        <v>14820.403439999996</v>
      </c>
      <c r="J26" s="15">
        <f t="shared" si="7"/>
        <v>15085.888640000003</v>
      </c>
      <c r="K26" s="15">
        <f t="shared" si="7"/>
        <v>14996.69608</v>
      </c>
      <c r="L26" s="15">
        <f t="shared" si="7"/>
        <v>13575.865720000002</v>
      </c>
      <c r="M26" s="15">
        <f t="shared" si="7"/>
        <v>14169.344079999997</v>
      </c>
      <c r="N26" s="15">
        <f>SUM(N8:N25)</f>
        <v>14289.543560000004</v>
      </c>
      <c r="O26" s="15">
        <f t="shared" ref="O26:V26" si="8">SUM(O8:O25)</f>
        <v>14498.92448</v>
      </c>
      <c r="P26" s="15">
        <f t="shared" si="8"/>
        <v>14399.261600000003</v>
      </c>
      <c r="Q26" s="15">
        <f t="shared" si="8"/>
        <v>13207.062840000001</v>
      </c>
      <c r="R26" s="15">
        <f t="shared" si="8"/>
        <v>12576.730960000001</v>
      </c>
      <c r="S26" s="15">
        <f t="shared" si="8"/>
        <v>11137.1358</v>
      </c>
      <c r="T26" s="15">
        <f t="shared" si="8"/>
        <v>11790.837514446528</v>
      </c>
      <c r="U26" s="15">
        <f t="shared" si="8"/>
        <v>11984.204868051118</v>
      </c>
      <c r="V26" s="15">
        <f t="shared" si="8"/>
        <v>11159.798064236114</v>
      </c>
      <c r="W26" s="15"/>
      <c r="X26" s="15"/>
      <c r="Y26" s="7"/>
      <c r="Z26" s="73"/>
      <c r="AA26" s="7"/>
      <c r="AB26">
        <f t="shared" ref="AB26:AV26" si="9">SUM(AB8:AB25)</f>
        <v>12072.928350736656</v>
      </c>
      <c r="AC26">
        <f t="shared" si="9"/>
        <v>13042.115484022981</v>
      </c>
      <c r="AD26">
        <f t="shared" si="9"/>
        <v>13104.265331447779</v>
      </c>
      <c r="AE26">
        <f t="shared" si="9"/>
        <v>13103.425439913102</v>
      </c>
      <c r="AF26">
        <f t="shared" si="9"/>
        <v>12599.548369464048</v>
      </c>
      <c r="AG26">
        <f t="shared" si="9"/>
        <v>12996.418569503452</v>
      </c>
      <c r="AH26">
        <f t="shared" si="9"/>
        <v>13376.494235228505</v>
      </c>
      <c r="AI26">
        <f t="shared" si="9"/>
        <v>13805.955934019132</v>
      </c>
      <c r="AJ26">
        <f t="shared" si="9"/>
        <v>14211.777729152858</v>
      </c>
      <c r="AK26">
        <f t="shared" si="9"/>
        <v>14258.316948536629</v>
      </c>
      <c r="AL26">
        <f t="shared" si="9"/>
        <v>14245.009418160424</v>
      </c>
      <c r="AM26">
        <f t="shared" si="9"/>
        <v>14659.114711999997</v>
      </c>
      <c r="AN26">
        <f t="shared" si="9"/>
        <v>14920.161681155838</v>
      </c>
      <c r="AO26">
        <f t="shared" si="9"/>
        <v>14785.024832475434</v>
      </c>
      <c r="AP26">
        <f t="shared" si="9"/>
        <v>14295.866372999417</v>
      </c>
      <c r="AQ26">
        <f t="shared" si="9"/>
        <v>13433.641368000002</v>
      </c>
      <c r="AR26">
        <f t="shared" si="9"/>
        <v>13113.137221225885</v>
      </c>
      <c r="AS26">
        <f t="shared" si="9"/>
        <v>12950.8719434869</v>
      </c>
      <c r="AT26">
        <f t="shared" si="9"/>
        <v>12740.8006945982</v>
      </c>
      <c r="AU26">
        <f t="shared" si="9"/>
        <v>12805.585636000002</v>
      </c>
      <c r="AV26">
        <f t="shared" si="9"/>
        <v>12902.103729277938</v>
      </c>
      <c r="AW26">
        <f>SUM(AW8:AW25)</f>
        <v>12229.231348957175</v>
      </c>
      <c r="AX26">
        <f>SUM(AX8:AX25)</f>
        <v>11278.299924045068</v>
      </c>
      <c r="AY26">
        <f>SUM(AY8:AY25)</f>
        <v>11795</v>
      </c>
      <c r="AZ26">
        <f t="shared" ref="AZ26:BC26" si="10">SUM(AZ8:AZ25)</f>
        <v>11661.920733035413</v>
      </c>
      <c r="BA26">
        <f t="shared" si="10"/>
        <v>11017.078970851395</v>
      </c>
      <c r="BB26">
        <f t="shared" si="10"/>
        <v>11929.722103697588</v>
      </c>
      <c r="BC26">
        <f t="shared" si="10"/>
        <v>12301</v>
      </c>
      <c r="BD26">
        <f t="shared" ref="BD26:BF26" si="11">SUM(BD8:BD25)</f>
        <v>11954.117982146578</v>
      </c>
      <c r="BE26">
        <f t="shared" si="11"/>
        <v>12191.032093345204</v>
      </c>
      <c r="BF26">
        <f t="shared" si="11"/>
        <v>11881.290249504702</v>
      </c>
      <c r="BP26">
        <f t="shared" si="6"/>
        <v>1986</v>
      </c>
      <c r="BQ26" s="49">
        <v>851.19749953824692</v>
      </c>
      <c r="BR26" s="49">
        <v>167.34431376858677</v>
      </c>
      <c r="BS26" s="49">
        <v>38.210686463826796</v>
      </c>
      <c r="BT26" s="49">
        <v>255.75096288820842</v>
      </c>
      <c r="BU26" s="49">
        <v>1985.8799822003309</v>
      </c>
      <c r="BV26" s="49">
        <v>31.398684042991388</v>
      </c>
      <c r="BW26" s="49">
        <v>2850.2471338482869</v>
      </c>
      <c r="BX26" s="49">
        <v>2015.168144981348</v>
      </c>
      <c r="BY26" s="49">
        <v>135.02187702867309</v>
      </c>
      <c r="BZ26" s="49">
        <v>833.84549437982139</v>
      </c>
      <c r="CA26" s="49">
        <v>1819.4681276410374</v>
      </c>
      <c r="CB26" s="49">
        <v>236.43141790334087</v>
      </c>
      <c r="CC26" s="49">
        <v>131.76262360948817</v>
      </c>
      <c r="CD26" s="49">
        <v>56.773381394787812</v>
      </c>
      <c r="CE26" s="49">
        <v>69.916919680982033</v>
      </c>
      <c r="CF26" s="49">
        <v>244.14932796917603</v>
      </c>
      <c r="CG26" s="49">
        <v>42.985850897299549</v>
      </c>
      <c r="CH26" s="49">
        <v>39.628355216449528</v>
      </c>
      <c r="CJ26">
        <f t="shared" si="3"/>
        <v>1986</v>
      </c>
      <c r="CK26" s="7">
        <f t="shared" si="4"/>
        <v>11805.180783452881</v>
      </c>
      <c r="CL26" s="44">
        <f>AER11_Table2.1d!U49*0.001</f>
        <v>19077.962</v>
      </c>
      <c r="CM26">
        <f t="shared" si="5"/>
        <v>0.61878626152273919</v>
      </c>
    </row>
    <row r="27" spans="6:91" x14ac:dyDescent="0.2">
      <c r="G27" s="15"/>
      <c r="H27" s="15"/>
      <c r="I27" s="15"/>
      <c r="J27" s="15"/>
      <c r="K27" s="15"/>
      <c r="L27" s="15"/>
      <c r="M27" s="15"/>
      <c r="N27" s="15"/>
      <c r="O27" s="15"/>
      <c r="P27" s="15"/>
      <c r="Q27" s="15"/>
      <c r="R27" s="15"/>
      <c r="S27" s="15"/>
      <c r="T27" s="15"/>
      <c r="U27" s="15"/>
      <c r="V27" s="15"/>
      <c r="W27" s="15"/>
      <c r="X27" s="15"/>
      <c r="Y27" s="7"/>
      <c r="Z27" s="73"/>
      <c r="AA27" s="7"/>
      <c r="AB27">
        <f t="shared" ref="AB27:AV27" si="12">AB26/3.412*1000</f>
        <v>3538372.9046707666</v>
      </c>
      <c r="AC27">
        <f t="shared" si="12"/>
        <v>3822425.4056339338</v>
      </c>
      <c r="AD27">
        <f t="shared" si="12"/>
        <v>3840640.4840116589</v>
      </c>
      <c r="AE27">
        <f t="shared" si="12"/>
        <v>3840394.32588309</v>
      </c>
      <c r="AF27">
        <f t="shared" si="12"/>
        <v>3692716.4037116203</v>
      </c>
      <c r="AG27">
        <f t="shared" si="12"/>
        <v>3809032.4060678347</v>
      </c>
      <c r="AH27">
        <f t="shared" si="12"/>
        <v>3920426.2119661504</v>
      </c>
      <c r="AI27">
        <f t="shared" si="12"/>
        <v>4046294.2362306952</v>
      </c>
      <c r="AJ27">
        <f t="shared" si="12"/>
        <v>4165233.8010412832</v>
      </c>
      <c r="AK27">
        <f t="shared" si="12"/>
        <v>4178873.6660423884</v>
      </c>
      <c r="AL27">
        <f t="shared" si="12"/>
        <v>4174973.4519813675</v>
      </c>
      <c r="AM27">
        <f t="shared" si="12"/>
        <v>4296340.7713950751</v>
      </c>
      <c r="AN27">
        <f t="shared" si="12"/>
        <v>4372849.2617690023</v>
      </c>
      <c r="AO27">
        <f t="shared" si="12"/>
        <v>4333242.9169037035</v>
      </c>
      <c r="AP27">
        <f t="shared" si="12"/>
        <v>4189878.7728603221</v>
      </c>
      <c r="AQ27">
        <f t="shared" si="12"/>
        <v>3937175.078546308</v>
      </c>
      <c r="AR27">
        <f t="shared" si="12"/>
        <v>3843240.6861740579</v>
      </c>
      <c r="AS27">
        <f t="shared" si="12"/>
        <v>3795683.4535424677</v>
      </c>
      <c r="AT27">
        <f t="shared" si="12"/>
        <v>3734115.0922034583</v>
      </c>
      <c r="AU27">
        <f t="shared" si="12"/>
        <v>3753102.4724501763</v>
      </c>
      <c r="AV27">
        <f t="shared" si="12"/>
        <v>3781390.3075257735</v>
      </c>
      <c r="AW27">
        <f>AW26/3.412*1000</f>
        <v>3584182.6931293011</v>
      </c>
      <c r="AX27">
        <f>AX26/3.412*1000</f>
        <v>3305480.6342453309</v>
      </c>
      <c r="AY27">
        <f>AY26/3.412*1000</f>
        <v>3456916.7643610784</v>
      </c>
      <c r="AZ27">
        <f>AZ26/3.412*1000</f>
        <v>3417913.4622026416</v>
      </c>
      <c r="BA27">
        <f t="shared" ref="BA27:BC27" si="13">BA26/3.412*1000</f>
        <v>3228921.1520666457</v>
      </c>
      <c r="BB27">
        <f t="shared" si="13"/>
        <v>3496401.5544248498</v>
      </c>
      <c r="BC27">
        <f t="shared" si="13"/>
        <v>3605216.8815943729</v>
      </c>
      <c r="BD27">
        <f t="shared" ref="BD27:BF27" si="14">BD26/3.412*1000</f>
        <v>3503551.5774169341</v>
      </c>
      <c r="BE27">
        <f t="shared" si="14"/>
        <v>3572987.1316955462</v>
      </c>
      <c r="BF27">
        <f t="shared" si="14"/>
        <v>3482206.9898900064</v>
      </c>
      <c r="BP27">
        <f t="shared" si="6"/>
        <v>1987</v>
      </c>
      <c r="BQ27" s="49">
        <v>833.51038838632076</v>
      </c>
      <c r="BR27" s="49">
        <v>172.60133796131427</v>
      </c>
      <c r="BS27" s="49">
        <v>41.21594313846515</v>
      </c>
      <c r="BT27" s="49">
        <v>293.32052036990052</v>
      </c>
      <c r="BU27" s="49">
        <v>2039.394142819116</v>
      </c>
      <c r="BV27" s="49">
        <v>35.457031000499867</v>
      </c>
      <c r="BW27" s="49">
        <v>2753.6476622858058</v>
      </c>
      <c r="BX27" s="49">
        <v>2230.5058143667238</v>
      </c>
      <c r="BY27" s="49">
        <v>151.42293972634729</v>
      </c>
      <c r="BZ27" s="49">
        <v>865.36110422201477</v>
      </c>
      <c r="CA27" s="49">
        <v>1819.8952963174174</v>
      </c>
      <c r="CB27" s="49">
        <v>242.60813301921721</v>
      </c>
      <c r="CC27" s="49">
        <v>133.59407668064966</v>
      </c>
      <c r="CD27" s="49">
        <v>60.400035479019486</v>
      </c>
      <c r="CE27" s="49">
        <v>67.361584373291663</v>
      </c>
      <c r="CF27" s="49">
        <v>242.38099655777575</v>
      </c>
      <c r="CG27" s="49">
        <v>46.939987356383909</v>
      </c>
      <c r="CH27" s="49">
        <v>43.311356676392833</v>
      </c>
      <c r="CJ27">
        <f t="shared" si="3"/>
        <v>1987</v>
      </c>
      <c r="CK27" s="7">
        <f t="shared" si="4"/>
        <v>12072.928350736656</v>
      </c>
      <c r="CL27" s="44">
        <f>AER11_Table2.1d!U50*0.001</f>
        <v>19953.132000000001</v>
      </c>
      <c r="CM27">
        <f t="shared" si="5"/>
        <v>0.60506432527668619</v>
      </c>
    </row>
    <row r="28" spans="6:91" x14ac:dyDescent="0.2">
      <c r="W28" s="31"/>
      <c r="X28" s="31"/>
      <c r="Y28" s="7"/>
      <c r="Z28" s="7"/>
      <c r="AA28" s="7"/>
      <c r="BP28">
        <f t="shared" si="6"/>
        <v>1988</v>
      </c>
      <c r="BQ28" s="49">
        <v>851.12053122624513</v>
      </c>
      <c r="BR28" s="49">
        <v>168.48905994885055</v>
      </c>
      <c r="BS28" s="49">
        <v>46.203934666809843</v>
      </c>
      <c r="BT28" s="49">
        <v>302.60197307912358</v>
      </c>
      <c r="BU28" s="49">
        <v>2153.9562641132611</v>
      </c>
      <c r="BV28" s="49">
        <v>40.089746346787351</v>
      </c>
      <c r="BW28" s="49">
        <v>3018.3157833208888</v>
      </c>
      <c r="BX28" s="49">
        <v>2425.2974275342949</v>
      </c>
      <c r="BY28" s="49">
        <v>150.36582650079393</v>
      </c>
      <c r="BZ28" s="49">
        <v>884.64406029384702</v>
      </c>
      <c r="CA28" s="49">
        <v>2134.8918237453663</v>
      </c>
      <c r="CB28" s="49">
        <v>251.14969713900282</v>
      </c>
      <c r="CC28" s="49">
        <v>138.88393804304263</v>
      </c>
      <c r="CD28" s="49">
        <v>62.693189717341816</v>
      </c>
      <c r="CE28" s="49">
        <v>64.55717435203718</v>
      </c>
      <c r="CF28" s="49">
        <v>254.78050349600764</v>
      </c>
      <c r="CG28" s="49">
        <v>48.640156995919362</v>
      </c>
      <c r="CH28" s="49">
        <v>45.434393503358493</v>
      </c>
      <c r="CJ28">
        <f t="shared" si="3"/>
        <v>1988</v>
      </c>
      <c r="CK28" s="7">
        <f t="shared" si="4"/>
        <v>13042.115484022981</v>
      </c>
      <c r="CL28" s="44">
        <f>AER11_Table2.1d!U51*0.001</f>
        <v>20861.792000000001</v>
      </c>
      <c r="CM28">
        <f t="shared" si="5"/>
        <v>0.62516755435117843</v>
      </c>
    </row>
    <row r="29" spans="6:91" x14ac:dyDescent="0.2">
      <c r="G29">
        <v>1970</v>
      </c>
      <c r="H29">
        <v>1971</v>
      </c>
      <c r="I29">
        <v>1972</v>
      </c>
      <c r="J29">
        <v>1973</v>
      </c>
      <c r="K29">
        <v>1974</v>
      </c>
      <c r="L29">
        <v>1975</v>
      </c>
      <c r="M29">
        <v>1976</v>
      </c>
      <c r="N29">
        <v>1977</v>
      </c>
      <c r="O29">
        <v>1978</v>
      </c>
      <c r="P29">
        <v>1979</v>
      </c>
      <c r="Q29">
        <v>1980</v>
      </c>
      <c r="R29">
        <v>1981</v>
      </c>
      <c r="S29">
        <v>1982</v>
      </c>
      <c r="T29">
        <v>1983</v>
      </c>
      <c r="U29">
        <v>1984</v>
      </c>
      <c r="V29">
        <v>1985</v>
      </c>
      <c r="W29">
        <v>1986</v>
      </c>
      <c r="X29">
        <v>1987</v>
      </c>
      <c r="Y29">
        <f>X29+1</f>
        <v>1988</v>
      </c>
      <c r="Z29">
        <f t="shared" ref="Z29:AS29" si="15">Y29+1</f>
        <v>1989</v>
      </c>
      <c r="AA29">
        <f t="shared" si="15"/>
        <v>1990</v>
      </c>
      <c r="AB29">
        <f t="shared" si="15"/>
        <v>1991</v>
      </c>
      <c r="AC29">
        <f t="shared" si="15"/>
        <v>1992</v>
      </c>
      <c r="AD29">
        <f t="shared" si="15"/>
        <v>1993</v>
      </c>
      <c r="AE29">
        <f t="shared" si="15"/>
        <v>1994</v>
      </c>
      <c r="AF29">
        <f t="shared" si="15"/>
        <v>1995</v>
      </c>
      <c r="AG29">
        <f t="shared" si="15"/>
        <v>1996</v>
      </c>
      <c r="AH29">
        <f t="shared" si="15"/>
        <v>1997</v>
      </c>
      <c r="AI29">
        <f t="shared" si="15"/>
        <v>1998</v>
      </c>
      <c r="AJ29">
        <f t="shared" si="15"/>
        <v>1999</v>
      </c>
      <c r="AK29">
        <f t="shared" si="15"/>
        <v>2000</v>
      </c>
      <c r="AL29">
        <f t="shared" si="15"/>
        <v>2001</v>
      </c>
      <c r="AM29">
        <f t="shared" si="15"/>
        <v>2002</v>
      </c>
      <c r="AN29">
        <f t="shared" si="15"/>
        <v>2003</v>
      </c>
      <c r="AO29">
        <f t="shared" si="15"/>
        <v>2004</v>
      </c>
      <c r="AP29">
        <f t="shared" si="15"/>
        <v>2005</v>
      </c>
      <c r="AQ29">
        <f t="shared" si="15"/>
        <v>2006</v>
      </c>
      <c r="AR29">
        <f t="shared" si="15"/>
        <v>2007</v>
      </c>
      <c r="AS29">
        <f t="shared" si="15"/>
        <v>2008</v>
      </c>
      <c r="AT29">
        <f>AS29+1</f>
        <v>2009</v>
      </c>
      <c r="AU29">
        <f>AT29+1</f>
        <v>2010</v>
      </c>
      <c r="AV29">
        <f>AU29+1</f>
        <v>2011</v>
      </c>
      <c r="AW29">
        <f t="shared" ref="AW29:AY29" si="16">AV29+1</f>
        <v>2012</v>
      </c>
      <c r="AX29">
        <f t="shared" si="16"/>
        <v>2013</v>
      </c>
      <c r="AY29">
        <f t="shared" si="16"/>
        <v>2014</v>
      </c>
      <c r="AZ29">
        <f t="shared" ref="AZ29" si="17">AY29+1</f>
        <v>2015</v>
      </c>
      <c r="BA29">
        <f t="shared" ref="BA29" si="18">AZ29+1</f>
        <v>2016</v>
      </c>
      <c r="BB29">
        <f t="shared" ref="BB29" si="19">BA29+1</f>
        <v>2017</v>
      </c>
      <c r="BP29">
        <f t="shared" si="6"/>
        <v>1989</v>
      </c>
      <c r="BQ29" s="49">
        <v>851.8988327684732</v>
      </c>
      <c r="BR29" s="49">
        <v>167.44427557233792</v>
      </c>
      <c r="BS29" s="49">
        <v>38.72494633334945</v>
      </c>
      <c r="BT29" s="49">
        <v>314.98874210000514</v>
      </c>
      <c r="BU29" s="49">
        <v>2186.1253063093668</v>
      </c>
      <c r="BV29" s="49">
        <v>41.243633713675202</v>
      </c>
      <c r="BW29" s="49">
        <v>2965.3762841158969</v>
      </c>
      <c r="BX29" s="49">
        <v>2521.8421868716355</v>
      </c>
      <c r="BY29" s="49">
        <v>156.13332627095838</v>
      </c>
      <c r="BZ29" s="49">
        <v>872.26871686531888</v>
      </c>
      <c r="CA29" s="49">
        <v>2135.9489196898717</v>
      </c>
      <c r="CB29" s="49">
        <v>241.61252681571094</v>
      </c>
      <c r="CC29" s="49">
        <v>135.84765730352257</v>
      </c>
      <c r="CD29" s="49">
        <v>62.697248115282292</v>
      </c>
      <c r="CE29" s="49">
        <v>64.994227835018435</v>
      </c>
      <c r="CF29" s="49">
        <v>251.14742131079424</v>
      </c>
      <c r="CG29" s="49">
        <v>54.790411286187279</v>
      </c>
      <c r="CH29" s="49">
        <v>41.18066817037402</v>
      </c>
      <c r="CJ29">
        <f t="shared" si="3"/>
        <v>1989</v>
      </c>
      <c r="CK29" s="7">
        <f t="shared" si="4"/>
        <v>13104.265331447779</v>
      </c>
      <c r="CL29" s="44">
        <f>AER11_Table2.1d!U52*0.001</f>
        <v>20873.883000000002</v>
      </c>
      <c r="CM29">
        <f t="shared" si="5"/>
        <v>0.62778282945476782</v>
      </c>
    </row>
    <row r="30" spans="6:91" x14ac:dyDescent="0.2">
      <c r="F30" t="s">
        <v>12</v>
      </c>
      <c r="G30" s="5">
        <f t="shared" ref="G30:V30" si="20">$X8*G8</f>
        <v>1025.2394208767039</v>
      </c>
      <c r="H30" s="5">
        <f t="shared" si="20"/>
        <v>1041.4392566055014</v>
      </c>
      <c r="I30" s="5">
        <f t="shared" si="20"/>
        <v>1033.7732940337014</v>
      </c>
      <c r="J30" s="5">
        <f t="shared" si="20"/>
        <v>1002.7388099089143</v>
      </c>
      <c r="K30" s="5">
        <f t="shared" si="20"/>
        <v>916.38228761252185</v>
      </c>
      <c r="L30" s="5">
        <f t="shared" si="20"/>
        <v>919.47748680792574</v>
      </c>
      <c r="M30" s="5">
        <f t="shared" si="20"/>
        <v>923.77521271776016</v>
      </c>
      <c r="N30" s="5">
        <f t="shared" si="20"/>
        <v>933.31874357025549</v>
      </c>
      <c r="O30" s="5">
        <f t="shared" si="20"/>
        <v>960.85021509213618</v>
      </c>
      <c r="P30" s="5">
        <f t="shared" si="20"/>
        <v>927.44320966216321</v>
      </c>
      <c r="Q30" s="5">
        <f t="shared" si="20"/>
        <v>922.40770166183279</v>
      </c>
      <c r="R30" s="5">
        <f t="shared" si="20"/>
        <v>871.84697216243671</v>
      </c>
      <c r="S30" s="5">
        <f t="shared" si="20"/>
        <v>891.93788225512594</v>
      </c>
      <c r="T30" s="5">
        <f t="shared" si="20"/>
        <v>926.28715741012616</v>
      </c>
      <c r="U30" s="5">
        <f t="shared" si="20"/>
        <v>919.28113220431328</v>
      </c>
      <c r="V30" s="5">
        <f t="shared" si="20"/>
        <v>814.40918409036976</v>
      </c>
      <c r="W30" s="39">
        <f t="shared" ref="W30:W47" si="21">AA8</f>
        <v>851.19749953824692</v>
      </c>
      <c r="X30" s="39">
        <f t="shared" ref="X30:X47" si="22">AB8</f>
        <v>833.51038838632076</v>
      </c>
      <c r="Y30" s="39">
        <f t="shared" ref="Y30:Y47" si="23">AC8</f>
        <v>851.12053122624513</v>
      </c>
      <c r="Z30" s="39">
        <f t="shared" ref="Z30:AO45" si="24">AD8</f>
        <v>851.8988327684732</v>
      </c>
      <c r="AA30" s="39">
        <f t="shared" si="24"/>
        <v>801.85853040559095</v>
      </c>
      <c r="AB30" s="39">
        <f t="shared" si="24"/>
        <v>809.67414956814787</v>
      </c>
      <c r="AC30" s="39">
        <f t="shared" si="24"/>
        <v>863.70158393200757</v>
      </c>
      <c r="AD30" s="39">
        <f t="shared" si="24"/>
        <v>926.75369383250984</v>
      </c>
      <c r="AE30" s="39">
        <f t="shared" si="24"/>
        <v>1008.5825527109854</v>
      </c>
      <c r="AF30" s="39">
        <f t="shared" si="24"/>
        <v>996.91523388203518</v>
      </c>
      <c r="AG30" s="39">
        <f t="shared" si="24"/>
        <v>865.22738818560777</v>
      </c>
      <c r="AH30" s="39">
        <f t="shared" si="24"/>
        <v>867.68525811561415</v>
      </c>
      <c r="AI30" s="39">
        <f t="shared" si="24"/>
        <v>914.596452</v>
      </c>
      <c r="AJ30" s="39">
        <f t="shared" si="24"/>
        <v>935.17439841307237</v>
      </c>
      <c r="AK30" s="39">
        <f t="shared" si="24"/>
        <v>890.52621269592521</v>
      </c>
      <c r="AL30" s="39">
        <f t="shared" si="24"/>
        <v>981.79189817683255</v>
      </c>
      <c r="AM30" s="39">
        <f t="shared" si="24"/>
        <v>963.55408</v>
      </c>
      <c r="AN30" s="39">
        <f t="shared" si="24"/>
        <v>908.1512310074819</v>
      </c>
      <c r="AO30" s="39">
        <f t="shared" si="24"/>
        <v>876.87404509058865</v>
      </c>
      <c r="AP30" s="39">
        <f t="shared" ref="AP30:AR45" si="25">AT8</f>
        <v>881.92508034163961</v>
      </c>
      <c r="AQ30" s="39">
        <f t="shared" si="25"/>
        <v>1014.1992240000001</v>
      </c>
      <c r="AR30" s="39">
        <f t="shared" si="25"/>
        <v>1017.3089008569175</v>
      </c>
      <c r="AS30" s="39">
        <f t="shared" ref="AS30:AS47" si="26">AW8</f>
        <v>913.55290679421876</v>
      </c>
      <c r="AT30" s="39">
        <f t="shared" ref="AT30:AT47" si="27">AX8</f>
        <v>1082.0437976266057</v>
      </c>
      <c r="AU30" s="39">
        <f t="shared" ref="AU30:AU47" si="28">AY8</f>
        <v>958</v>
      </c>
      <c r="AV30" s="39">
        <f t="shared" ref="AV30:AV47" si="29">AZ8</f>
        <v>962.5869918448409</v>
      </c>
      <c r="AW30" s="39">
        <f t="shared" ref="AW30:AY30" si="30">BA8</f>
        <v>905.23015078882304</v>
      </c>
      <c r="AX30" s="39">
        <f t="shared" si="30"/>
        <v>938.49143969789179</v>
      </c>
      <c r="AY30" s="39">
        <f t="shared" si="30"/>
        <v>929</v>
      </c>
      <c r="AZ30" s="39">
        <f t="shared" ref="AZ30:AZ47" si="31">BD8</f>
        <v>1030.630146776351</v>
      </c>
      <c r="BA30" s="39">
        <f t="shared" ref="BA30:BA47" si="32">BE8</f>
        <v>1061.6998274548725</v>
      </c>
      <c r="BB30" s="39">
        <f t="shared" ref="BB30:BB47" si="33">BF8</f>
        <v>971.69780095161491</v>
      </c>
      <c r="BP30">
        <f t="shared" si="6"/>
        <v>1990</v>
      </c>
      <c r="BQ30" s="49">
        <v>801.85853040559095</v>
      </c>
      <c r="BR30" s="49">
        <v>155.89053627343949</v>
      </c>
      <c r="BS30" s="49">
        <v>34.234269572907131</v>
      </c>
      <c r="BT30" s="49">
        <v>317.55370658139748</v>
      </c>
      <c r="BU30" s="49">
        <v>2232.4561523667417</v>
      </c>
      <c r="BV30" s="49">
        <v>40.250360783695889</v>
      </c>
      <c r="BW30" s="49">
        <v>2981.7236021574176</v>
      </c>
      <c r="BX30" s="49">
        <v>2717.7721792901602</v>
      </c>
      <c r="BY30" s="49">
        <v>135.02276624658089</v>
      </c>
      <c r="BZ30" s="49">
        <v>839.79715936733282</v>
      </c>
      <c r="CA30" s="49">
        <v>2058.910056035751</v>
      </c>
      <c r="CB30" s="49">
        <v>222.61909858361435</v>
      </c>
      <c r="CC30" s="49">
        <v>120.63206911012374</v>
      </c>
      <c r="CD30" s="49">
        <v>58.165999612572094</v>
      </c>
      <c r="CE30" s="49">
        <v>57.975944538459906</v>
      </c>
      <c r="CF30" s="49">
        <v>237.32816845389928</v>
      </c>
      <c r="CG30" s="49">
        <v>52.543324444208949</v>
      </c>
      <c r="CH30" s="49">
        <v>38.691516089207084</v>
      </c>
      <c r="CJ30">
        <f t="shared" si="3"/>
        <v>1990</v>
      </c>
      <c r="CK30" s="7">
        <f t="shared" si="4"/>
        <v>13103.425439913102</v>
      </c>
      <c r="CL30" s="44">
        <f>AER11_Table2.1d!U53*0.001</f>
        <v>21180.042000000001</v>
      </c>
      <c r="CM30">
        <f t="shared" si="5"/>
        <v>0.61866852954838814</v>
      </c>
    </row>
    <row r="31" spans="6:91" x14ac:dyDescent="0.2">
      <c r="F31" t="s">
        <v>13</v>
      </c>
      <c r="G31" s="5">
        <f t="shared" ref="G31:V31" si="34">$X9*G9</f>
        <v>225.54014182377034</v>
      </c>
      <c r="H31" s="5">
        <f t="shared" si="34"/>
        <v>240.42711041711195</v>
      </c>
      <c r="I31" s="5">
        <f t="shared" si="34"/>
        <v>242.48210352435277</v>
      </c>
      <c r="J31" s="5">
        <f t="shared" si="34"/>
        <v>223.28416490121569</v>
      </c>
      <c r="K31" s="5">
        <f t="shared" si="34"/>
        <v>195.18273179879691</v>
      </c>
      <c r="L31" s="5">
        <f t="shared" si="34"/>
        <v>194.60722748181865</v>
      </c>
      <c r="M31" s="5">
        <f t="shared" si="34"/>
        <v>204.37397843656774</v>
      </c>
      <c r="N31" s="5">
        <f t="shared" si="34"/>
        <v>215.23241681106174</v>
      </c>
      <c r="O31" s="5">
        <f t="shared" si="34"/>
        <v>211.3871625823902</v>
      </c>
      <c r="P31" s="5">
        <f t="shared" si="34"/>
        <v>200.02405119146917</v>
      </c>
      <c r="Q31" s="5">
        <f t="shared" si="34"/>
        <v>184.78026992160108</v>
      </c>
      <c r="R31" s="5">
        <f t="shared" si="34"/>
        <v>180.50914249836566</v>
      </c>
      <c r="S31" s="5">
        <f t="shared" si="34"/>
        <v>159.78213317458031</v>
      </c>
      <c r="T31" s="5">
        <f t="shared" si="34"/>
        <v>178.92517753979021</v>
      </c>
      <c r="U31" s="5">
        <f t="shared" si="34"/>
        <v>176.12202882047774</v>
      </c>
      <c r="V31" s="5">
        <f t="shared" si="34"/>
        <v>156.1414043262503</v>
      </c>
      <c r="W31" s="39">
        <f t="shared" si="21"/>
        <v>167.34431376858677</v>
      </c>
      <c r="X31" s="39">
        <f t="shared" si="22"/>
        <v>172.60133796131427</v>
      </c>
      <c r="Y31" s="39">
        <f t="shared" si="23"/>
        <v>168.48905994885055</v>
      </c>
      <c r="Z31" s="39">
        <f t="shared" si="24"/>
        <v>167.44427557233792</v>
      </c>
      <c r="AA31" s="39">
        <f t="shared" si="24"/>
        <v>155.89053627343949</v>
      </c>
      <c r="AB31" s="39">
        <f t="shared" si="24"/>
        <v>167.22964134569051</v>
      </c>
      <c r="AC31" s="39">
        <f t="shared" si="24"/>
        <v>171.780636136151</v>
      </c>
      <c r="AD31" s="39">
        <f t="shared" si="24"/>
        <v>179.66474753861871</v>
      </c>
      <c r="AE31" s="39">
        <f t="shared" si="24"/>
        <v>192.94392268146368</v>
      </c>
      <c r="AF31" s="39">
        <f t="shared" si="24"/>
        <v>190.8904946076554</v>
      </c>
      <c r="AG31" s="39">
        <f t="shared" si="24"/>
        <v>167.09700979934172</v>
      </c>
      <c r="AH31" s="39">
        <f t="shared" si="24"/>
        <v>170.57022786370626</v>
      </c>
      <c r="AI31" s="39">
        <f t="shared" si="24"/>
        <v>183.883668</v>
      </c>
      <c r="AJ31" s="39">
        <f t="shared" si="24"/>
        <v>187.31181548387343</v>
      </c>
      <c r="AK31" s="39">
        <f t="shared" si="24"/>
        <v>156.99410743381722</v>
      </c>
      <c r="AL31" s="39">
        <f t="shared" si="24"/>
        <v>156.54886822367064</v>
      </c>
      <c r="AM31" s="39">
        <f t="shared" si="24"/>
        <v>161.77534800000001</v>
      </c>
      <c r="AN31" s="39">
        <f t="shared" si="24"/>
        <v>144.82060676734446</v>
      </c>
      <c r="AO31" s="39">
        <f t="shared" si="24"/>
        <v>150.15509141889578</v>
      </c>
      <c r="AP31" s="39">
        <f t="shared" si="25"/>
        <v>157.5923565830285</v>
      </c>
      <c r="AQ31" s="39">
        <f t="shared" si="25"/>
        <v>164.407712</v>
      </c>
      <c r="AR31" s="39">
        <f t="shared" si="25"/>
        <v>117.72476201119797</v>
      </c>
      <c r="AS31" s="39">
        <f t="shared" si="26"/>
        <v>100.10391940983209</v>
      </c>
      <c r="AT31" s="39">
        <f t="shared" si="27"/>
        <v>92.386077520771678</v>
      </c>
      <c r="AU31" s="39">
        <f t="shared" si="28"/>
        <v>62</v>
      </c>
      <c r="AV31" s="39">
        <f t="shared" si="29"/>
        <v>63.735355866562557</v>
      </c>
      <c r="AW31" s="39">
        <f t="shared" ref="AW31:AY31" si="35">BA9</f>
        <v>65.232230776731996</v>
      </c>
      <c r="AX31" s="39">
        <f t="shared" si="35"/>
        <v>70.717952789685583</v>
      </c>
      <c r="AY31" s="39">
        <f t="shared" si="35"/>
        <v>72</v>
      </c>
      <c r="AZ31" s="39">
        <f t="shared" si="31"/>
        <v>74.509049446669465</v>
      </c>
      <c r="BA31" s="39">
        <f t="shared" si="32"/>
        <v>78.338211968875697</v>
      </c>
      <c r="BB31" s="39">
        <f t="shared" si="33"/>
        <v>58.42197502449914</v>
      </c>
      <c r="BP31">
        <f t="shared" si="6"/>
        <v>1991</v>
      </c>
      <c r="BQ31" s="49">
        <v>809.67414956814787</v>
      </c>
      <c r="BR31" s="49">
        <v>167.22964134569051</v>
      </c>
      <c r="BS31" s="49">
        <v>36.963147733447869</v>
      </c>
      <c r="BT31" s="49">
        <v>314.83245355703338</v>
      </c>
      <c r="BU31" s="49">
        <v>2267.2367478194155</v>
      </c>
      <c r="BV31" s="49">
        <v>38.576483481067747</v>
      </c>
      <c r="BW31" s="49">
        <v>2884.3712617836486</v>
      </c>
      <c r="BX31" s="49">
        <v>2577.2858974832011</v>
      </c>
      <c r="BY31" s="49">
        <v>125.61488437265322</v>
      </c>
      <c r="BZ31" s="49">
        <v>788.81428212035598</v>
      </c>
      <c r="CA31" s="49">
        <v>1811.54797443144</v>
      </c>
      <c r="CB31" s="49">
        <v>217.28105279356296</v>
      </c>
      <c r="CC31" s="49">
        <v>113.47965946591772</v>
      </c>
      <c r="CD31" s="49">
        <v>56.220714404637988</v>
      </c>
      <c r="CE31" s="49">
        <v>55.611292613491038</v>
      </c>
      <c r="CF31" s="49">
        <v>244.13057132985355</v>
      </c>
      <c r="CG31" s="49">
        <v>55.8843501953478</v>
      </c>
      <c r="CH31" s="49">
        <v>34.793804965135031</v>
      </c>
      <c r="CJ31">
        <f t="shared" si="3"/>
        <v>1991</v>
      </c>
      <c r="CK31" s="7">
        <f t="shared" si="4"/>
        <v>12599.548369464048</v>
      </c>
      <c r="CL31" s="44">
        <f>AER11_Table2.1d!U54*0.001</f>
        <v>20824.444</v>
      </c>
      <c r="CM31">
        <f t="shared" si="5"/>
        <v>0.60503648354136363</v>
      </c>
    </row>
    <row r="32" spans="6:91" x14ac:dyDescent="0.2">
      <c r="F32" t="s">
        <v>14</v>
      </c>
      <c r="G32" s="5">
        <f t="shared" ref="G32:V32" si="36">$X10*G10</f>
        <v>69.457629065242031</v>
      </c>
      <c r="H32" s="5">
        <f t="shared" si="36"/>
        <v>65.691230457434273</v>
      </c>
      <c r="I32" s="5">
        <f t="shared" si="36"/>
        <v>61.690356109039513</v>
      </c>
      <c r="J32" s="5">
        <f t="shared" si="36"/>
        <v>52.443351114267543</v>
      </c>
      <c r="K32" s="5">
        <f t="shared" si="36"/>
        <v>45.343594680817269</v>
      </c>
      <c r="L32" s="5">
        <f t="shared" si="36"/>
        <v>43.638892674927845</v>
      </c>
      <c r="M32" s="5">
        <f t="shared" si="36"/>
        <v>42.659798028422571</v>
      </c>
      <c r="N32" s="5">
        <f t="shared" si="36"/>
        <v>46.520198171871066</v>
      </c>
      <c r="O32" s="5">
        <f t="shared" si="36"/>
        <v>48.402341278745268</v>
      </c>
      <c r="P32" s="5">
        <f t="shared" si="36"/>
        <v>43.502643258100242</v>
      </c>
      <c r="Q32" s="5">
        <f t="shared" si="36"/>
        <v>42.470738760111416</v>
      </c>
      <c r="R32" s="5">
        <f t="shared" si="36"/>
        <v>42.345051313580534</v>
      </c>
      <c r="S32" s="5">
        <f t="shared" si="36"/>
        <v>34.013769143533565</v>
      </c>
      <c r="T32" s="5">
        <f t="shared" si="36"/>
        <v>36.976401811761477</v>
      </c>
      <c r="U32" s="5">
        <f t="shared" si="36"/>
        <v>32.566779212883922</v>
      </c>
      <c r="V32" s="5">
        <f t="shared" si="36"/>
        <v>27.870927218965463</v>
      </c>
      <c r="W32" s="39">
        <f t="shared" si="21"/>
        <v>38.210686463826796</v>
      </c>
      <c r="X32" s="39">
        <f t="shared" si="22"/>
        <v>41.21594313846515</v>
      </c>
      <c r="Y32" s="39">
        <f t="shared" si="23"/>
        <v>46.203934666809843</v>
      </c>
      <c r="Z32" s="39">
        <f t="shared" si="24"/>
        <v>38.72494633334945</v>
      </c>
      <c r="AA32" s="39">
        <f t="shared" si="24"/>
        <v>34.234269572907131</v>
      </c>
      <c r="AB32" s="39">
        <f t="shared" si="24"/>
        <v>36.963147733447869</v>
      </c>
      <c r="AC32" s="39">
        <f t="shared" si="24"/>
        <v>37.95122991416855</v>
      </c>
      <c r="AD32" s="39">
        <f t="shared" si="24"/>
        <v>38.969253979153493</v>
      </c>
      <c r="AE32" s="39">
        <f t="shared" si="24"/>
        <v>39.957336159874167</v>
      </c>
      <c r="AF32" s="39">
        <f t="shared" si="24"/>
        <v>44.512636188125661</v>
      </c>
      <c r="AG32" s="39">
        <f t="shared" si="24"/>
        <v>36.045490006918435</v>
      </c>
      <c r="AH32" s="39">
        <f t="shared" si="24"/>
        <v>34.309579022565551</v>
      </c>
      <c r="AI32" s="39">
        <f t="shared" si="24"/>
        <v>35.487055999999995</v>
      </c>
      <c r="AJ32" s="39">
        <f t="shared" si="24"/>
        <v>34.727399494976886</v>
      </c>
      <c r="AK32" s="39">
        <f t="shared" si="24"/>
        <v>27.828729813053091</v>
      </c>
      <c r="AL32" s="39">
        <f t="shared" si="24"/>
        <v>25.821803000550606</v>
      </c>
      <c r="AM32" s="39">
        <f t="shared" si="24"/>
        <v>22.314752000000002</v>
      </c>
      <c r="AN32" s="39">
        <f t="shared" si="24"/>
        <v>13.370253732879473</v>
      </c>
      <c r="AO32" s="39">
        <f t="shared" si="24"/>
        <v>12.950620915309582</v>
      </c>
      <c r="AP32" s="39">
        <f t="shared" si="25"/>
        <v>10.444249462603306</v>
      </c>
      <c r="AQ32" s="39">
        <f t="shared" si="25"/>
        <v>8.7224880000000002</v>
      </c>
      <c r="AR32" s="39">
        <f t="shared" si="25"/>
        <v>5.5487247592447062</v>
      </c>
      <c r="AS32" s="39">
        <f t="shared" si="26"/>
        <v>2.9930445873252332</v>
      </c>
      <c r="AT32" s="39">
        <f t="shared" si="27"/>
        <v>3.526210661636902</v>
      </c>
      <c r="AU32" s="39">
        <f t="shared" si="28"/>
        <v>3</v>
      </c>
      <c r="AV32" s="39">
        <f t="shared" si="29"/>
        <v>3.4834106866991101</v>
      </c>
      <c r="AW32" s="39">
        <f t="shared" ref="AW32:AY32" si="37">BA10</f>
        <v>2.8834010636912977</v>
      </c>
      <c r="AX32" s="39">
        <f t="shared" si="37"/>
        <v>2.9774098793298824</v>
      </c>
      <c r="AY32" s="39">
        <f t="shared" si="37"/>
        <v>3</v>
      </c>
      <c r="AZ32" s="39">
        <f t="shared" si="31"/>
        <v>4.4320835988412783</v>
      </c>
      <c r="BA32" s="39">
        <f t="shared" si="32"/>
        <v>4.9647133073011736</v>
      </c>
      <c r="BB32" s="39">
        <f t="shared" si="33"/>
        <v>4.2770219585491782</v>
      </c>
      <c r="BP32">
        <f t="shared" si="6"/>
        <v>1992</v>
      </c>
      <c r="BQ32" s="49">
        <v>863.70158393200757</v>
      </c>
      <c r="BR32" s="49">
        <v>171.780636136151</v>
      </c>
      <c r="BS32" s="49">
        <v>37.95122991416855</v>
      </c>
      <c r="BT32" s="49">
        <v>285.65263466533662</v>
      </c>
      <c r="BU32" s="49">
        <v>2376.8968151839495</v>
      </c>
      <c r="BV32" s="49">
        <v>38.178392597320688</v>
      </c>
      <c r="BW32" s="49">
        <v>2978.6197025599158</v>
      </c>
      <c r="BX32" s="49">
        <v>2624.9869434256652</v>
      </c>
      <c r="BY32" s="49">
        <v>132.95089229393827</v>
      </c>
      <c r="BZ32" s="49">
        <v>834.39754001449057</v>
      </c>
      <c r="CA32" s="49">
        <v>1860.7007555363432</v>
      </c>
      <c r="CB32" s="49">
        <v>221.51344199750795</v>
      </c>
      <c r="CC32" s="49">
        <v>107.05467343210731</v>
      </c>
      <c r="CD32" s="49">
        <v>60.22308177563918</v>
      </c>
      <c r="CE32" s="49">
        <v>57.234985489425249</v>
      </c>
      <c r="CF32" s="49">
        <v>253.07663671240181</v>
      </c>
      <c r="CG32" s="49">
        <v>52.652898635297085</v>
      </c>
      <c r="CH32" s="49">
        <v>38.845725201786685</v>
      </c>
      <c r="CJ32">
        <f t="shared" si="3"/>
        <v>1992</v>
      </c>
      <c r="CK32" s="7">
        <f t="shared" si="4"/>
        <v>12996.418569503452</v>
      </c>
      <c r="CL32" s="44">
        <f>AER11_Table2.1d!U55*0.001</f>
        <v>21756.319</v>
      </c>
      <c r="CM32">
        <f t="shared" si="5"/>
        <v>0.59736293485600445</v>
      </c>
    </row>
    <row r="33" spans="6:91" x14ac:dyDescent="0.2">
      <c r="F33" t="s">
        <v>105</v>
      </c>
      <c r="G33" s="5">
        <f t="shared" ref="G33:V33" si="38">$X11*G11</f>
        <v>233.1450846953831</v>
      </c>
      <c r="H33" s="5">
        <f t="shared" si="38"/>
        <v>228.75555794949327</v>
      </c>
      <c r="I33" s="5">
        <f t="shared" si="38"/>
        <v>239.87441262700719</v>
      </c>
      <c r="J33" s="5">
        <f t="shared" si="38"/>
        <v>247.10923999438248</v>
      </c>
      <c r="K33" s="5">
        <f t="shared" si="38"/>
        <v>236.32951784971422</v>
      </c>
      <c r="L33" s="5">
        <f t="shared" si="38"/>
        <v>221.3159713170036</v>
      </c>
      <c r="M33" s="5">
        <f t="shared" si="38"/>
        <v>239.13695933624362</v>
      </c>
      <c r="N33" s="5">
        <f t="shared" si="38"/>
        <v>237.29039335944378</v>
      </c>
      <c r="O33" s="5">
        <f t="shared" si="38"/>
        <v>258.81464465008872</v>
      </c>
      <c r="P33" s="5">
        <f t="shared" si="38"/>
        <v>258.13584635714432</v>
      </c>
      <c r="Q33" s="5">
        <f t="shared" si="38"/>
        <v>242.89727792370905</v>
      </c>
      <c r="R33" s="5">
        <f t="shared" si="38"/>
        <v>240.63906050766875</v>
      </c>
      <c r="S33" s="5">
        <f t="shared" si="38"/>
        <v>210.02915005482549</v>
      </c>
      <c r="T33" s="5">
        <f t="shared" si="38"/>
        <v>231.04670582383781</v>
      </c>
      <c r="U33" s="5">
        <f t="shared" si="38"/>
        <v>243.7496023068787</v>
      </c>
      <c r="V33" s="5">
        <f t="shared" si="38"/>
        <v>248.7998733914439</v>
      </c>
      <c r="W33" s="39">
        <f t="shared" si="21"/>
        <v>255.75096288820842</v>
      </c>
      <c r="X33" s="39">
        <f t="shared" si="22"/>
        <v>293.32052036990052</v>
      </c>
      <c r="Y33" s="39">
        <f t="shared" si="23"/>
        <v>302.60197307912358</v>
      </c>
      <c r="Z33" s="39">
        <f t="shared" si="24"/>
        <v>314.98874210000514</v>
      </c>
      <c r="AA33" s="39">
        <f t="shared" si="24"/>
        <v>317.55370658139748</v>
      </c>
      <c r="AB33" s="39">
        <f t="shared" si="24"/>
        <v>314.83245355703338</v>
      </c>
      <c r="AC33" s="39">
        <f t="shared" si="24"/>
        <v>285.65263466533662</v>
      </c>
      <c r="AD33" s="39">
        <f t="shared" si="24"/>
        <v>308.99770621726981</v>
      </c>
      <c r="AE33" s="39">
        <f t="shared" si="24"/>
        <v>319.45866435321039</v>
      </c>
      <c r="AF33" s="39">
        <f t="shared" si="24"/>
        <v>373.11340884966961</v>
      </c>
      <c r="AG33" s="39">
        <f t="shared" si="24"/>
        <v>354.43765969546752</v>
      </c>
      <c r="AH33" s="39">
        <f t="shared" si="24"/>
        <v>351.22789070081427</v>
      </c>
      <c r="AI33" s="39">
        <f t="shared" si="24"/>
        <v>431.76796000000002</v>
      </c>
      <c r="AJ33" s="39">
        <f t="shared" si="24"/>
        <v>456.65878470026882</v>
      </c>
      <c r="AK33" s="39">
        <f t="shared" si="24"/>
        <v>395.38550253374592</v>
      </c>
      <c r="AL33" s="39">
        <f t="shared" si="24"/>
        <v>334.95065632387758</v>
      </c>
      <c r="AM33" s="39">
        <f t="shared" si="24"/>
        <v>303.39918</v>
      </c>
      <c r="AN33" s="39">
        <f t="shared" si="24"/>
        <v>315.36572210850733</v>
      </c>
      <c r="AO33" s="39">
        <f t="shared" si="24"/>
        <v>334.05313526607807</v>
      </c>
      <c r="AP33" s="39">
        <f t="shared" si="25"/>
        <v>328.05195783490865</v>
      </c>
      <c r="AQ33" s="39">
        <f t="shared" si="25"/>
        <v>353.821124</v>
      </c>
      <c r="AR33" s="39">
        <f t="shared" si="25"/>
        <v>384.72650075395597</v>
      </c>
      <c r="AS33" s="39">
        <f t="shared" si="26"/>
        <v>340.75137141804316</v>
      </c>
      <c r="AT33" s="39">
        <f t="shared" si="27"/>
        <v>349.87643313649335</v>
      </c>
      <c r="AU33" s="39">
        <f t="shared" si="28"/>
        <v>418</v>
      </c>
      <c r="AV33" s="39">
        <f t="shared" si="29"/>
        <v>344.71258871576003</v>
      </c>
      <c r="AW33" s="39">
        <f t="shared" ref="AW33:AY33" si="39">BA11</f>
        <v>268.15711778672494</v>
      </c>
      <c r="AX33" s="39">
        <f t="shared" si="39"/>
        <v>299.38234805307519</v>
      </c>
      <c r="AY33" s="39">
        <f t="shared" si="39"/>
        <v>311</v>
      </c>
      <c r="AZ33" s="39">
        <f t="shared" si="31"/>
        <v>386.26514793818404</v>
      </c>
      <c r="BA33" s="39">
        <f t="shared" si="32"/>
        <v>429.30426619607431</v>
      </c>
      <c r="BB33" s="39">
        <f t="shared" si="33"/>
        <v>458.23367249135623</v>
      </c>
      <c r="BP33">
        <f t="shared" si="6"/>
        <v>1993</v>
      </c>
      <c r="BQ33" s="49">
        <v>926.75369383250984</v>
      </c>
      <c r="BR33" s="49">
        <v>179.66474753861871</v>
      </c>
      <c r="BS33" s="49">
        <v>38.969253979153493</v>
      </c>
      <c r="BT33" s="49">
        <v>308.99770621726981</v>
      </c>
      <c r="BU33" s="49">
        <v>2413.860058955303</v>
      </c>
      <c r="BV33" s="49">
        <v>35.271440939704874</v>
      </c>
      <c r="BW33" s="49">
        <v>2970.8276442091383</v>
      </c>
      <c r="BX33" s="49">
        <v>2667.9116101083255</v>
      </c>
      <c r="BY33" s="49">
        <v>136.77256011490636</v>
      </c>
      <c r="BZ33" s="49">
        <v>866.94246720947717</v>
      </c>
      <c r="CA33" s="49">
        <v>1980.5512991134312</v>
      </c>
      <c r="CB33" s="49">
        <v>238.70978614279537</v>
      </c>
      <c r="CC33" s="49">
        <v>108.0675573372492</v>
      </c>
      <c r="CD33" s="49">
        <v>64.59076180040033</v>
      </c>
      <c r="CE33" s="49">
        <v>62.688490345889321</v>
      </c>
      <c r="CF33" s="49">
        <v>281.57130919761488</v>
      </c>
      <c r="CG33" s="49">
        <v>50.694628080839159</v>
      </c>
      <c r="CH33" s="49">
        <v>43.649220105879621</v>
      </c>
      <c r="CJ33">
        <f t="shared" si="3"/>
        <v>1993</v>
      </c>
      <c r="CK33" s="7">
        <f t="shared" si="4"/>
        <v>13376.494235228505</v>
      </c>
      <c r="CL33" s="44">
        <f>AER11_Table2.1d!U56*0.001</f>
        <v>21753.047999999999</v>
      </c>
      <c r="CM33">
        <f t="shared" si="5"/>
        <v>0.61492505488097604</v>
      </c>
    </row>
    <row r="34" spans="6:91" x14ac:dyDescent="0.2">
      <c r="F34" t="s">
        <v>106</v>
      </c>
      <c r="G34" s="5">
        <f t="shared" ref="G34:V34" si="40">$X12*G12</f>
        <v>1676.8293296070926</v>
      </c>
      <c r="H34" s="5">
        <f t="shared" si="40"/>
        <v>1774.5898107351686</v>
      </c>
      <c r="I34" s="5">
        <f t="shared" si="40"/>
        <v>1856.5684738705736</v>
      </c>
      <c r="J34" s="5">
        <f t="shared" si="40"/>
        <v>1823.4914754065853</v>
      </c>
      <c r="K34" s="5">
        <f t="shared" si="40"/>
        <v>1841.4594640159989</v>
      </c>
      <c r="L34" s="5">
        <f t="shared" si="40"/>
        <v>1695.0070009695717</v>
      </c>
      <c r="M34" s="5">
        <f t="shared" si="40"/>
        <v>1854.0595741469392</v>
      </c>
      <c r="N34" s="5">
        <f t="shared" si="40"/>
        <v>1903.5055023121824</v>
      </c>
      <c r="O34" s="5">
        <f t="shared" si="40"/>
        <v>1957.3812065519662</v>
      </c>
      <c r="P34" s="5">
        <f t="shared" si="40"/>
        <v>1953.5841253931962</v>
      </c>
      <c r="Q34" s="5">
        <f t="shared" si="40"/>
        <v>1902.3768621022043</v>
      </c>
      <c r="R34" s="5">
        <f t="shared" si="40"/>
        <v>1945.5459826376425</v>
      </c>
      <c r="S34" s="5">
        <f t="shared" si="40"/>
        <v>1845.776193736714</v>
      </c>
      <c r="T34" s="5">
        <f t="shared" si="40"/>
        <v>2015.7924399069686</v>
      </c>
      <c r="U34" s="5">
        <f t="shared" si="40"/>
        <v>2078.3417168105088</v>
      </c>
      <c r="V34" s="5">
        <f t="shared" si="40"/>
        <v>2017.3632372266716</v>
      </c>
      <c r="W34" s="39">
        <f t="shared" si="21"/>
        <v>1985.8799822003309</v>
      </c>
      <c r="X34" s="39">
        <f t="shared" si="22"/>
        <v>2039.394142819116</v>
      </c>
      <c r="Y34" s="39">
        <f t="shared" si="23"/>
        <v>2153.9562641132611</v>
      </c>
      <c r="Z34" s="39">
        <f t="shared" si="24"/>
        <v>2186.1253063093668</v>
      </c>
      <c r="AA34" s="39">
        <f t="shared" si="24"/>
        <v>2232.4561523667417</v>
      </c>
      <c r="AB34" s="39">
        <f t="shared" si="24"/>
        <v>2267.2367478194155</v>
      </c>
      <c r="AC34" s="39">
        <f t="shared" si="24"/>
        <v>2376.8968151839495</v>
      </c>
      <c r="AD34" s="39">
        <f t="shared" si="24"/>
        <v>2413.860058955303</v>
      </c>
      <c r="AE34" s="39">
        <f t="shared" si="24"/>
        <v>2406.5414497255788</v>
      </c>
      <c r="AF34" s="39">
        <f t="shared" si="24"/>
        <v>2475.1031059942475</v>
      </c>
      <c r="AG34" s="39">
        <f t="shared" si="24"/>
        <v>2445.7058531055864</v>
      </c>
      <c r="AH34" s="39">
        <f t="shared" si="24"/>
        <v>2444.4671078929837</v>
      </c>
      <c r="AI34" s="39">
        <f t="shared" si="24"/>
        <v>2503.918032</v>
      </c>
      <c r="AJ34" s="39">
        <f t="shared" si="24"/>
        <v>2465.1884562264563</v>
      </c>
      <c r="AK34" s="39">
        <f t="shared" si="24"/>
        <v>2357.2657029108259</v>
      </c>
      <c r="AL34" s="39">
        <f t="shared" si="24"/>
        <v>2298.5199852617166</v>
      </c>
      <c r="AM34" s="39">
        <f t="shared" si="24"/>
        <v>2137.503764</v>
      </c>
      <c r="AN34" s="39">
        <f t="shared" si="24"/>
        <v>2062.2055493557114</v>
      </c>
      <c r="AO34" s="39">
        <f t="shared" si="24"/>
        <v>2028.3709641295484</v>
      </c>
      <c r="AP34" s="39">
        <f t="shared" si="25"/>
        <v>2041.520676975912</v>
      </c>
      <c r="AQ34" s="39">
        <f t="shared" si="25"/>
        <v>2106.5685840000001</v>
      </c>
      <c r="AR34" s="39">
        <f t="shared" si="25"/>
        <v>2090.1212360058084</v>
      </c>
      <c r="AS34" s="39">
        <f t="shared" si="26"/>
        <v>1905.2774059551602</v>
      </c>
      <c r="AT34" s="39">
        <f t="shared" si="27"/>
        <v>1774.044580052572</v>
      </c>
      <c r="AU34" s="39">
        <f t="shared" si="28"/>
        <v>1904</v>
      </c>
      <c r="AV34" s="39">
        <f t="shared" si="29"/>
        <v>1722.0786392639382</v>
      </c>
      <c r="AW34" s="39">
        <f t="shared" ref="AW34:AY34" si="41">BA12</f>
        <v>1678.8466954510259</v>
      </c>
      <c r="AX34" s="39">
        <f t="shared" si="41"/>
        <v>1810.8084829965851</v>
      </c>
      <c r="AY34" s="39">
        <f t="shared" si="41"/>
        <v>1899</v>
      </c>
      <c r="AZ34" s="39">
        <f t="shared" si="31"/>
        <v>1916.5339866445674</v>
      </c>
      <c r="BA34" s="39">
        <f t="shared" si="32"/>
        <v>1920.6028756718433</v>
      </c>
      <c r="BB34" s="39">
        <f t="shared" si="33"/>
        <v>1793.6389598515498</v>
      </c>
      <c r="BP34">
        <f t="shared" si="6"/>
        <v>1994</v>
      </c>
      <c r="BQ34" s="49">
        <v>1008.5825527109854</v>
      </c>
      <c r="BR34" s="49">
        <v>192.94392268146368</v>
      </c>
      <c r="BS34" s="49">
        <v>39.957336159874167</v>
      </c>
      <c r="BT34" s="49">
        <v>319.45866435321039</v>
      </c>
      <c r="BU34" s="49">
        <v>2406.5414497255788</v>
      </c>
      <c r="BV34" s="49">
        <v>37.113573244007682</v>
      </c>
      <c r="BW34" s="49">
        <v>3144.6947232151383</v>
      </c>
      <c r="BX34" s="49">
        <v>2729.1714558311169</v>
      </c>
      <c r="BY34" s="49">
        <v>141.58522460569185</v>
      </c>
      <c r="BZ34" s="49">
        <v>822.05619657793363</v>
      </c>
      <c r="CA34" s="49">
        <v>2096.657607556745</v>
      </c>
      <c r="CB34" s="49">
        <v>263.57968281835372</v>
      </c>
      <c r="CC34" s="49">
        <v>112.92234511482371</v>
      </c>
      <c r="CD34" s="49">
        <v>66.930484972733723</v>
      </c>
      <c r="CE34" s="49">
        <v>67.848599515192888</v>
      </c>
      <c r="CF34" s="49">
        <v>260.23443301298028</v>
      </c>
      <c r="CG34" s="49">
        <v>47.300771088826892</v>
      </c>
      <c r="CH34" s="49">
        <v>48.376910834473634</v>
      </c>
      <c r="CJ34">
        <f t="shared" si="3"/>
        <v>1994</v>
      </c>
      <c r="CK34" s="7">
        <f t="shared" si="4"/>
        <v>13805.955934019132</v>
      </c>
      <c r="CL34" s="44">
        <f>AER11_Table2.1d!U57*0.001</f>
        <v>22392.668000000001</v>
      </c>
      <c r="CM34">
        <f t="shared" si="5"/>
        <v>0.61653912495014573</v>
      </c>
    </row>
    <row r="35" spans="6:91" x14ac:dyDescent="0.2">
      <c r="F35" t="s">
        <v>107</v>
      </c>
      <c r="G35" s="5">
        <f t="shared" ref="G35:V35" si="42">$X13*G13</f>
        <v>30.291028498334043</v>
      </c>
      <c r="H35" s="5">
        <f t="shared" si="42"/>
        <v>28.981245210725596</v>
      </c>
      <c r="I35" s="5">
        <f t="shared" si="42"/>
        <v>28.59798183782285</v>
      </c>
      <c r="J35" s="5">
        <f t="shared" si="42"/>
        <v>26.669931974980639</v>
      </c>
      <c r="K35" s="5">
        <f t="shared" si="42"/>
        <v>22.098920409671415</v>
      </c>
      <c r="L35" s="5">
        <f t="shared" si="42"/>
        <v>23.832405657932156</v>
      </c>
      <c r="M35" s="5">
        <f t="shared" si="42"/>
        <v>19.308652681177552</v>
      </c>
      <c r="N35" s="5">
        <f t="shared" si="42"/>
        <v>23.373896798763397</v>
      </c>
      <c r="O35" s="5">
        <f t="shared" si="42"/>
        <v>23.509136802180493</v>
      </c>
      <c r="P35" s="5">
        <f t="shared" si="42"/>
        <v>25.776040799978485</v>
      </c>
      <c r="Q35" s="5">
        <f t="shared" si="42"/>
        <v>25.106376545139955</v>
      </c>
      <c r="R35" s="5">
        <f t="shared" si="42"/>
        <v>25.110901303618594</v>
      </c>
      <c r="S35" s="5">
        <f t="shared" si="42"/>
        <v>26.386883194594706</v>
      </c>
      <c r="T35" s="5">
        <f t="shared" si="42"/>
        <v>27.737445560605206</v>
      </c>
      <c r="U35" s="5">
        <f t="shared" si="42"/>
        <v>31.98743113422907</v>
      </c>
      <c r="V35" s="5">
        <f t="shared" si="42"/>
        <v>26.699079874753142</v>
      </c>
      <c r="W35" s="39">
        <f t="shared" si="21"/>
        <v>31.398684042991388</v>
      </c>
      <c r="X35" s="39">
        <f t="shared" si="22"/>
        <v>35.457031000499867</v>
      </c>
      <c r="Y35" s="39">
        <f t="shared" si="23"/>
        <v>40.089746346787351</v>
      </c>
      <c r="Z35" s="39">
        <f t="shared" si="24"/>
        <v>41.243633713675202</v>
      </c>
      <c r="AA35" s="39">
        <f t="shared" si="24"/>
        <v>40.250360783695889</v>
      </c>
      <c r="AB35" s="39">
        <f t="shared" si="24"/>
        <v>38.576483481067747</v>
      </c>
      <c r="AC35" s="39">
        <f t="shared" si="24"/>
        <v>38.178392597320688</v>
      </c>
      <c r="AD35" s="39">
        <f t="shared" si="24"/>
        <v>35.271440939704874</v>
      </c>
      <c r="AE35" s="39">
        <f t="shared" si="24"/>
        <v>37.113573244007682</v>
      </c>
      <c r="AF35" s="39">
        <f t="shared" si="24"/>
        <v>43.188518122581051</v>
      </c>
      <c r="AG35" s="39">
        <f t="shared" si="24"/>
        <v>40.33110661016218</v>
      </c>
      <c r="AH35" s="39">
        <f t="shared" si="24"/>
        <v>40.608372244311404</v>
      </c>
      <c r="AI35" s="39">
        <f t="shared" si="24"/>
        <v>47.004247999999997</v>
      </c>
      <c r="AJ35" s="39">
        <f t="shared" si="24"/>
        <v>52.164830887173935</v>
      </c>
      <c r="AK35" s="39">
        <f t="shared" si="24"/>
        <v>43.975163094048298</v>
      </c>
      <c r="AL35" s="39">
        <f t="shared" si="24"/>
        <v>43.927533603441304</v>
      </c>
      <c r="AM35" s="39">
        <f t="shared" si="24"/>
        <v>47.795832000000004</v>
      </c>
      <c r="AN35" s="39">
        <f t="shared" si="24"/>
        <v>39.692067517161526</v>
      </c>
      <c r="AO35" s="39">
        <f t="shared" si="24"/>
        <v>39.966826921984563</v>
      </c>
      <c r="AP35" s="39">
        <f t="shared" si="25"/>
        <v>36.753303021623331</v>
      </c>
      <c r="AQ35" s="39">
        <f t="shared" si="25"/>
        <v>40.374451999999998</v>
      </c>
      <c r="AR35" s="39">
        <f t="shared" si="25"/>
        <v>40.901224952433246</v>
      </c>
      <c r="AS35" s="39">
        <f t="shared" si="26"/>
        <v>32.461027328280444</v>
      </c>
      <c r="AT35" s="39">
        <f t="shared" si="27"/>
        <v>42.881660809701962</v>
      </c>
      <c r="AU35" s="39">
        <f t="shared" si="28"/>
        <v>36</v>
      </c>
      <c r="AV35" s="39">
        <f t="shared" si="29"/>
        <v>39.681746342190024</v>
      </c>
      <c r="AW35" s="39">
        <f t="shared" ref="AW35:AY35" si="43">BA13</f>
        <v>40.886951644453283</v>
      </c>
      <c r="AX35" s="39">
        <f t="shared" si="43"/>
        <v>41.131101202521521</v>
      </c>
      <c r="AY35" s="39">
        <f t="shared" si="43"/>
        <v>40</v>
      </c>
      <c r="AZ35" s="39">
        <f t="shared" si="31"/>
        <v>41.772916701739263</v>
      </c>
      <c r="BA35" s="39">
        <f t="shared" si="32"/>
        <v>48.826228708148577</v>
      </c>
      <c r="BB35" s="39">
        <f t="shared" si="33"/>
        <v>59.497184411456416</v>
      </c>
      <c r="BP35">
        <f t="shared" si="6"/>
        <v>1995</v>
      </c>
      <c r="BQ35" s="49">
        <v>996.91523388203518</v>
      </c>
      <c r="BR35" s="49">
        <v>190.8904946076554</v>
      </c>
      <c r="BS35" s="49">
        <v>44.512636188125661</v>
      </c>
      <c r="BT35" s="49">
        <v>373.11340884966961</v>
      </c>
      <c r="BU35" s="49">
        <v>2475.1031059942475</v>
      </c>
      <c r="BV35" s="49">
        <v>43.188518122581051</v>
      </c>
      <c r="BW35" s="49">
        <v>3318.3953852069985</v>
      </c>
      <c r="BX35" s="49">
        <v>2808.3801069250053</v>
      </c>
      <c r="BY35" s="49">
        <v>151.80278514264387</v>
      </c>
      <c r="BZ35" s="49">
        <v>836.37810053118699</v>
      </c>
      <c r="CA35" s="49">
        <v>2018.3220014173257</v>
      </c>
      <c r="CB35" s="49">
        <v>289.62365431759213</v>
      </c>
      <c r="CC35" s="49">
        <v>126.83165939971266</v>
      </c>
      <c r="CD35" s="49">
        <v>73.038453387793254</v>
      </c>
      <c r="CE35" s="49">
        <v>77.856750209741236</v>
      </c>
      <c r="CF35" s="49">
        <v>278.41898668330401</v>
      </c>
      <c r="CG35" s="49">
        <v>55.003014814745541</v>
      </c>
      <c r="CH35" s="49">
        <v>54.003433472495793</v>
      </c>
      <c r="CJ35">
        <f t="shared" si="3"/>
        <v>1995</v>
      </c>
      <c r="CK35" s="7">
        <f t="shared" si="4"/>
        <v>14211.777729152858</v>
      </c>
      <c r="CL35" s="44">
        <f>AER11_Table2.1d!U58*0.001</f>
        <v>22719.118000000002</v>
      </c>
      <c r="CM35">
        <f t="shared" si="5"/>
        <v>0.62554266979699025</v>
      </c>
    </row>
    <row r="36" spans="6:91" x14ac:dyDescent="0.2">
      <c r="F36" t="s">
        <v>108</v>
      </c>
      <c r="G36" s="5">
        <f t="shared" ref="G36:V36" si="44">$X14*G14</f>
        <v>2792.6281494244427</v>
      </c>
      <c r="H36" s="5">
        <f t="shared" si="44"/>
        <v>2793.4219083077564</v>
      </c>
      <c r="I36" s="5">
        <f t="shared" si="44"/>
        <v>2939.1111055370584</v>
      </c>
      <c r="J36" s="5">
        <f t="shared" si="44"/>
        <v>3102.474949837007</v>
      </c>
      <c r="K36" s="5">
        <f t="shared" si="44"/>
        <v>3059.3692855128302</v>
      </c>
      <c r="L36" s="5">
        <f t="shared" si="44"/>
        <v>2912.1731121392399</v>
      </c>
      <c r="M36" s="5">
        <f t="shared" si="44"/>
        <v>3008.8241187041867</v>
      </c>
      <c r="N36" s="5">
        <f t="shared" si="44"/>
        <v>3111.3747991054629</v>
      </c>
      <c r="O36" s="5">
        <f t="shared" si="44"/>
        <v>3101.6695336136172</v>
      </c>
      <c r="P36" s="5">
        <f t="shared" si="44"/>
        <v>3053.153803736277</v>
      </c>
      <c r="Q36" s="5">
        <f t="shared" si="44"/>
        <v>2931.8295070227023</v>
      </c>
      <c r="R36" s="5">
        <f t="shared" si="44"/>
        <v>2462.6978715783816</v>
      </c>
      <c r="S36" s="5">
        <f t="shared" si="44"/>
        <v>2440.9314981412763</v>
      </c>
      <c r="T36" s="5">
        <f t="shared" si="44"/>
        <v>2468.9059350476141</v>
      </c>
      <c r="U36" s="5">
        <f t="shared" si="44"/>
        <v>2493.1362462733782</v>
      </c>
      <c r="V36" s="5">
        <f t="shared" si="44"/>
        <v>2519.6333802647096</v>
      </c>
      <c r="W36" s="39">
        <f t="shared" si="21"/>
        <v>2850.2471338482869</v>
      </c>
      <c r="X36" s="39">
        <f t="shared" si="22"/>
        <v>2753.6476622858058</v>
      </c>
      <c r="Y36" s="39">
        <f t="shared" si="23"/>
        <v>3018.3157833208888</v>
      </c>
      <c r="Z36" s="39">
        <f t="shared" si="24"/>
        <v>2965.3762841158969</v>
      </c>
      <c r="AA36" s="39">
        <f t="shared" si="24"/>
        <v>2981.7236021574176</v>
      </c>
      <c r="AB36" s="39">
        <f t="shared" si="24"/>
        <v>2884.3712617836486</v>
      </c>
      <c r="AC36" s="39">
        <f t="shared" si="24"/>
        <v>2978.6197025599158</v>
      </c>
      <c r="AD36" s="39">
        <f t="shared" si="24"/>
        <v>2970.8276442091383</v>
      </c>
      <c r="AE36" s="39">
        <f t="shared" si="24"/>
        <v>3144.6947232151383</v>
      </c>
      <c r="AF36" s="39">
        <f t="shared" si="24"/>
        <v>3318.3953852069985</v>
      </c>
      <c r="AG36" s="39">
        <f t="shared" si="24"/>
        <v>3430.9762747528257</v>
      </c>
      <c r="AH36" s="39">
        <f t="shared" si="24"/>
        <v>3465.1910244853348</v>
      </c>
      <c r="AI36" s="39">
        <f t="shared" si="24"/>
        <v>3495.5546920000002</v>
      </c>
      <c r="AJ36" s="39">
        <f t="shared" si="24"/>
        <v>3559.9686790500004</v>
      </c>
      <c r="AK36" s="39">
        <f t="shared" si="24"/>
        <v>3613.8718330000002</v>
      </c>
      <c r="AL36" s="39">
        <f t="shared" si="24"/>
        <v>3494.7027549010036</v>
      </c>
      <c r="AM36" s="39">
        <f t="shared" si="24"/>
        <v>3075.1213680000001</v>
      </c>
      <c r="AN36" s="39">
        <f t="shared" si="24"/>
        <v>2986.514133005855</v>
      </c>
      <c r="AO36" s="39">
        <f t="shared" si="24"/>
        <v>3077.7580838021422</v>
      </c>
      <c r="AP36" s="39">
        <f t="shared" si="25"/>
        <v>3370.7901598183917</v>
      </c>
      <c r="AQ36" s="39">
        <f t="shared" si="25"/>
        <v>3259.0627920000002</v>
      </c>
      <c r="AR36" s="39">
        <f t="shared" si="25"/>
        <v>3233.695904757873</v>
      </c>
      <c r="AS36" s="39">
        <f t="shared" si="26"/>
        <v>3327.9701282444062</v>
      </c>
      <c r="AT36" s="39">
        <f t="shared" si="27"/>
        <v>3130.9523370717566</v>
      </c>
      <c r="AU36" s="39">
        <f t="shared" si="28"/>
        <v>3159</v>
      </c>
      <c r="AV36" s="39">
        <f t="shared" si="29"/>
        <v>3119.7773525461766</v>
      </c>
      <c r="AW36" s="39">
        <f t="shared" ref="AW36:AY36" si="45">BA14</f>
        <v>2948.0452954146526</v>
      </c>
      <c r="AX36" s="39">
        <f t="shared" si="45"/>
        <v>3141.97711054922</v>
      </c>
      <c r="AY36" s="39">
        <f t="shared" si="45"/>
        <v>3346</v>
      </c>
      <c r="AZ36" s="39">
        <f t="shared" si="31"/>
        <v>2662.5075454970774</v>
      </c>
      <c r="BA36" s="39">
        <f t="shared" si="32"/>
        <v>2393.0286293869767</v>
      </c>
      <c r="BB36" s="39">
        <f t="shared" si="33"/>
        <v>2653.5491863240372</v>
      </c>
      <c r="BP36">
        <f t="shared" si="6"/>
        <v>1996</v>
      </c>
      <c r="BQ36" s="49">
        <v>865.22738818560777</v>
      </c>
      <c r="BR36" s="49">
        <v>167.09700979934172</v>
      </c>
      <c r="BS36" s="49">
        <v>36.045490006918435</v>
      </c>
      <c r="BT36" s="49">
        <v>354.43765969546752</v>
      </c>
      <c r="BU36" s="49">
        <v>2445.7058531055864</v>
      </c>
      <c r="BV36" s="49">
        <v>40.33110661016218</v>
      </c>
      <c r="BW36" s="49">
        <v>3430.9762747528257</v>
      </c>
      <c r="BX36" s="49">
        <v>3060.7601437574108</v>
      </c>
      <c r="BY36" s="49">
        <v>145.59186602176126</v>
      </c>
      <c r="BZ36" s="49">
        <v>768.59394669215737</v>
      </c>
      <c r="CA36" s="49">
        <v>2087.7303780101934</v>
      </c>
      <c r="CB36" s="49">
        <v>248.28781667305427</v>
      </c>
      <c r="CC36" s="49">
        <v>112.60870645818754</v>
      </c>
      <c r="CD36" s="49">
        <v>72.049060260742735</v>
      </c>
      <c r="CE36" s="49">
        <v>67.460163031968875</v>
      </c>
      <c r="CF36" s="49">
        <v>260.19136025138812</v>
      </c>
      <c r="CG36" s="49">
        <v>51.030768858049989</v>
      </c>
      <c r="CH36" s="49">
        <v>44.191956365805062</v>
      </c>
      <c r="CJ36">
        <f t="shared" si="3"/>
        <v>1996</v>
      </c>
      <c r="CK36" s="7">
        <f t="shared" si="4"/>
        <v>14258.316948536629</v>
      </c>
      <c r="CL36" s="44">
        <f>AER11_Table2.1d!U59*0.001</f>
        <v>23409.844000000001</v>
      </c>
      <c r="CM36">
        <f t="shared" si="5"/>
        <v>0.60907355677110142</v>
      </c>
    </row>
    <row r="37" spans="6:91" x14ac:dyDescent="0.2">
      <c r="F37" t="s">
        <v>109</v>
      </c>
      <c r="G37" s="5">
        <f t="shared" ref="G37:V37" si="46">$X15*G15</f>
        <v>2486.2734710772238</v>
      </c>
      <c r="H37" s="5">
        <f t="shared" si="46"/>
        <v>2562.1387413783464</v>
      </c>
      <c r="I37" s="5">
        <f t="shared" si="46"/>
        <v>2578.0337383797546</v>
      </c>
      <c r="J37" s="5">
        <f t="shared" si="46"/>
        <v>2619.3404671718845</v>
      </c>
      <c r="K37" s="5">
        <f t="shared" si="46"/>
        <v>2984.1066150056604</v>
      </c>
      <c r="L37" s="5">
        <f t="shared" si="46"/>
        <v>2647.2003018212563</v>
      </c>
      <c r="M37" s="5">
        <f t="shared" si="46"/>
        <v>2805.1630195756998</v>
      </c>
      <c r="N37" s="5">
        <f t="shared" si="46"/>
        <v>2736.8753227042434</v>
      </c>
      <c r="O37" s="5">
        <f t="shared" si="46"/>
        <v>2621.971176355411</v>
      </c>
      <c r="P37" s="5">
        <f t="shared" si="46"/>
        <v>2641.5642459618775</v>
      </c>
      <c r="Q37" s="5">
        <f t="shared" si="46"/>
        <v>2483.7558600045877</v>
      </c>
      <c r="R37" s="5">
        <f t="shared" si="46"/>
        <v>2411.7206101045604</v>
      </c>
      <c r="S37" s="5">
        <f t="shared" si="46"/>
        <v>2159.1595693274257</v>
      </c>
      <c r="T37" s="5">
        <f t="shared" si="46"/>
        <v>2238.8395446604609</v>
      </c>
      <c r="U37" s="5">
        <f t="shared" si="46"/>
        <v>2327.8418674047139</v>
      </c>
      <c r="V37" s="5">
        <f t="shared" si="46"/>
        <v>1982.3306729500532</v>
      </c>
      <c r="W37" s="39">
        <f t="shared" si="21"/>
        <v>2015.168144981348</v>
      </c>
      <c r="X37" s="39">
        <f t="shared" si="22"/>
        <v>2230.5058143667238</v>
      </c>
      <c r="Y37" s="39">
        <f t="shared" si="23"/>
        <v>2425.2974275342949</v>
      </c>
      <c r="Z37" s="39">
        <f t="shared" si="24"/>
        <v>2521.8421868716355</v>
      </c>
      <c r="AA37" s="39">
        <f t="shared" si="24"/>
        <v>2717.7721792901602</v>
      </c>
      <c r="AB37" s="39">
        <f t="shared" si="24"/>
        <v>2577.2858974832011</v>
      </c>
      <c r="AC37" s="39">
        <f t="shared" si="24"/>
        <v>2624.9869434256652</v>
      </c>
      <c r="AD37" s="39">
        <f t="shared" si="24"/>
        <v>2667.9116101083255</v>
      </c>
      <c r="AE37" s="39">
        <f t="shared" si="24"/>
        <v>2729.1714558311169</v>
      </c>
      <c r="AF37" s="39">
        <f t="shared" si="24"/>
        <v>2808.3801069250053</v>
      </c>
      <c r="AG37" s="39">
        <f t="shared" si="24"/>
        <v>3060.7601437574108</v>
      </c>
      <c r="AH37" s="39">
        <f t="shared" si="24"/>
        <v>3103.9541409155927</v>
      </c>
      <c r="AI37" s="39">
        <f t="shared" si="24"/>
        <v>3126.5770039999998</v>
      </c>
      <c r="AJ37" s="39">
        <f t="shared" si="24"/>
        <v>3311.1447124275678</v>
      </c>
      <c r="AK37" s="39">
        <f t="shared" si="24"/>
        <v>3451.1731051817164</v>
      </c>
      <c r="AL37" s="39">
        <f t="shared" si="24"/>
        <v>3269.7219092965011</v>
      </c>
      <c r="AM37" s="39">
        <f t="shared" si="24"/>
        <v>3246.609152</v>
      </c>
      <c r="AN37" s="39">
        <f t="shared" si="24"/>
        <v>3278.8496369605023</v>
      </c>
      <c r="AO37" s="39">
        <f t="shared" si="24"/>
        <v>3050.2080438901307</v>
      </c>
      <c r="AP37" s="39">
        <f t="shared" si="25"/>
        <v>2799.0993758095683</v>
      </c>
      <c r="AQ37" s="39">
        <f t="shared" si="25"/>
        <v>2677.7578599999997</v>
      </c>
      <c r="AR37" s="39">
        <f t="shared" si="25"/>
        <v>2824.531653445953</v>
      </c>
      <c r="AS37" s="39">
        <f t="shared" si="26"/>
        <v>2808.6503129524704</v>
      </c>
      <c r="AT37" s="39">
        <f t="shared" si="27"/>
        <v>2507.0190933838858</v>
      </c>
      <c r="AU37" s="39">
        <f t="shared" si="28"/>
        <v>2772</v>
      </c>
      <c r="AV37" s="39">
        <f t="shared" si="29"/>
        <v>2865.8842342198377</v>
      </c>
      <c r="AW37" s="39">
        <f t="shared" ref="AW37:AY37" si="47">BA15</f>
        <v>2721.4162617878787</v>
      </c>
      <c r="AX37" s="39">
        <f t="shared" si="47"/>
        <v>3072.8614151678034</v>
      </c>
      <c r="AY37" s="39">
        <f t="shared" si="47"/>
        <v>3069</v>
      </c>
      <c r="AZ37" s="39">
        <f t="shared" si="31"/>
        <v>3261.3093142911703</v>
      </c>
      <c r="BA37" s="39">
        <f t="shared" si="32"/>
        <v>3611.5291991229756</v>
      </c>
      <c r="BB37" s="39">
        <f t="shared" si="33"/>
        <v>3286.1766212997227</v>
      </c>
      <c r="BP37">
        <f t="shared" si="6"/>
        <v>1997</v>
      </c>
      <c r="BQ37" s="49">
        <v>867.68525811561415</v>
      </c>
      <c r="BR37" s="49">
        <v>170.57022786370626</v>
      </c>
      <c r="BS37" s="49">
        <v>34.309579022565551</v>
      </c>
      <c r="BT37" s="49">
        <v>351.22789070081427</v>
      </c>
      <c r="BU37" s="49">
        <v>2444.4671078929837</v>
      </c>
      <c r="BV37" s="49">
        <v>40.608372244311404</v>
      </c>
      <c r="BW37" s="49">
        <v>3465.1910244853348</v>
      </c>
      <c r="BX37" s="49">
        <v>3103.9541409155927</v>
      </c>
      <c r="BY37" s="49">
        <v>135.30020215581013</v>
      </c>
      <c r="BZ37" s="49">
        <v>781.48054541412921</v>
      </c>
      <c r="CA37" s="49">
        <v>2032.416827386887</v>
      </c>
      <c r="CB37" s="49">
        <v>234.68145352408129</v>
      </c>
      <c r="CC37" s="49">
        <v>106.43670136428443</v>
      </c>
      <c r="CD37" s="49">
        <v>65.619117583298419</v>
      </c>
      <c r="CE37" s="49">
        <v>58.848707074425718</v>
      </c>
      <c r="CF37" s="49">
        <v>258.23641416413506</v>
      </c>
      <c r="CG37" s="49">
        <v>51.656782449462625</v>
      </c>
      <c r="CH37" s="49">
        <v>42.319065802984603</v>
      </c>
      <c r="CJ37">
        <f t="shared" si="3"/>
        <v>1997</v>
      </c>
      <c r="CK37" s="7">
        <f t="shared" si="4"/>
        <v>14245.009418160424</v>
      </c>
      <c r="CL37" s="44">
        <f>AER11_Table2.1d!U60*0.001</f>
        <v>23686.184000000001</v>
      </c>
      <c r="CM37">
        <f t="shared" si="5"/>
        <v>0.60140584140359721</v>
      </c>
    </row>
    <row r="38" spans="6:91" x14ac:dyDescent="0.2">
      <c r="F38" t="s">
        <v>110</v>
      </c>
      <c r="G38" s="5">
        <f t="shared" ref="G38:V38" si="48">$X16*G16</f>
        <v>159.09274698292725</v>
      </c>
      <c r="H38" s="5">
        <f t="shared" si="48"/>
        <v>174.40056907665885</v>
      </c>
      <c r="I38" s="5">
        <f t="shared" si="48"/>
        <v>209.55477565245272</v>
      </c>
      <c r="J38" s="5">
        <f t="shared" si="48"/>
        <v>199.50643162268227</v>
      </c>
      <c r="K38" s="5">
        <f t="shared" si="48"/>
        <v>183.40529199206608</v>
      </c>
      <c r="L38" s="5">
        <f t="shared" si="48"/>
        <v>167.84096044703415</v>
      </c>
      <c r="M38" s="5">
        <f t="shared" si="48"/>
        <v>171.86133237124594</v>
      </c>
      <c r="N38" s="5">
        <f t="shared" si="48"/>
        <v>195.61017717490614</v>
      </c>
      <c r="O38" s="5">
        <f t="shared" si="48"/>
        <v>183.32151269547202</v>
      </c>
      <c r="P38" s="5">
        <f t="shared" si="48"/>
        <v>170.57981942704774</v>
      </c>
      <c r="Q38" s="5">
        <f t="shared" si="48"/>
        <v>148.87581004766508</v>
      </c>
      <c r="R38" s="5">
        <f t="shared" si="48"/>
        <v>143.31845004025831</v>
      </c>
      <c r="S38" s="5">
        <f t="shared" si="48"/>
        <v>136.26444012949824</v>
      </c>
      <c r="T38" s="5">
        <f t="shared" si="48"/>
        <v>143.92248842557854</v>
      </c>
      <c r="U38" s="5">
        <f t="shared" si="48"/>
        <v>145.58566260981641</v>
      </c>
      <c r="V38" s="5">
        <f t="shared" si="48"/>
        <v>128.43055874180072</v>
      </c>
      <c r="W38" s="39">
        <f t="shared" si="21"/>
        <v>135.02187702867309</v>
      </c>
      <c r="X38" s="39">
        <f t="shared" si="22"/>
        <v>151.42293972634729</v>
      </c>
      <c r="Y38" s="39">
        <f t="shared" si="23"/>
        <v>150.36582650079393</v>
      </c>
      <c r="Z38" s="39">
        <f t="shared" si="24"/>
        <v>156.13332627095838</v>
      </c>
      <c r="AA38" s="39">
        <f t="shared" si="24"/>
        <v>135.02276624658089</v>
      </c>
      <c r="AB38" s="39">
        <f t="shared" si="24"/>
        <v>125.61488437265322</v>
      </c>
      <c r="AC38" s="39">
        <f t="shared" si="24"/>
        <v>132.95089229393827</v>
      </c>
      <c r="AD38" s="39">
        <f t="shared" si="24"/>
        <v>136.77256011490636</v>
      </c>
      <c r="AE38" s="39">
        <f t="shared" si="24"/>
        <v>141.58522460569185</v>
      </c>
      <c r="AF38" s="39">
        <f t="shared" si="24"/>
        <v>151.80278514264387</v>
      </c>
      <c r="AG38" s="39">
        <f t="shared" si="24"/>
        <v>145.59186602176126</v>
      </c>
      <c r="AH38" s="39">
        <f t="shared" si="24"/>
        <v>135.30020215581013</v>
      </c>
      <c r="AI38" s="39">
        <f t="shared" si="24"/>
        <v>144.39999600000002</v>
      </c>
      <c r="AJ38" s="39">
        <f t="shared" si="24"/>
        <v>163.77373974259751</v>
      </c>
      <c r="AK38" s="39">
        <f t="shared" si="24"/>
        <v>170.55457311273068</v>
      </c>
      <c r="AL38" s="39">
        <f t="shared" si="24"/>
        <v>170.96821812825092</v>
      </c>
      <c r="AM38" s="39">
        <f t="shared" si="24"/>
        <v>166.54642800000002</v>
      </c>
      <c r="AN38" s="39">
        <f t="shared" si="24"/>
        <v>162.38700858836174</v>
      </c>
      <c r="AO38" s="39">
        <f t="shared" si="24"/>
        <v>156.34521408513098</v>
      </c>
      <c r="AP38" s="39">
        <f t="shared" si="25"/>
        <v>150.24560489044413</v>
      </c>
      <c r="AQ38" s="39">
        <f t="shared" si="25"/>
        <v>153.785552</v>
      </c>
      <c r="AR38" s="39">
        <f t="shared" si="25"/>
        <v>143.10994103075981</v>
      </c>
      <c r="AS38" s="39">
        <f t="shared" si="26"/>
        <v>118.89421130373546</v>
      </c>
      <c r="AT38" s="39">
        <f t="shared" si="27"/>
        <v>111.58171088640285</v>
      </c>
      <c r="AU38" s="39">
        <f t="shared" si="28"/>
        <v>116</v>
      </c>
      <c r="AV38" s="39">
        <f t="shared" si="29"/>
        <v>114.33836166733738</v>
      </c>
      <c r="AW38" s="39">
        <f t="shared" ref="AW38:AY38" si="49">BA16</f>
        <v>109.54490865472242</v>
      </c>
      <c r="AX38" s="39">
        <f t="shared" si="49"/>
        <v>111.07562545949031</v>
      </c>
      <c r="AY38" s="39">
        <f t="shared" si="49"/>
        <v>104</v>
      </c>
      <c r="AZ38" s="39">
        <f t="shared" si="31"/>
        <v>118.14538873303597</v>
      </c>
      <c r="BA38" s="39">
        <f t="shared" si="32"/>
        <v>134.51930028316804</v>
      </c>
      <c r="BB38" s="39">
        <f t="shared" si="33"/>
        <v>157.39604481768811</v>
      </c>
      <c r="BP38">
        <f t="shared" si="6"/>
        <v>1998</v>
      </c>
      <c r="BQ38" s="49">
        <v>914.596452</v>
      </c>
      <c r="BR38" s="49">
        <v>183.883668</v>
      </c>
      <c r="BS38" s="49">
        <v>35.487055999999995</v>
      </c>
      <c r="BT38" s="49">
        <v>431.76796000000002</v>
      </c>
      <c r="BU38" s="49">
        <v>2503.918032</v>
      </c>
      <c r="BV38" s="49">
        <v>47.004247999999997</v>
      </c>
      <c r="BW38" s="49">
        <v>3495.5546920000002</v>
      </c>
      <c r="BX38" s="49">
        <v>3126.5770039999998</v>
      </c>
      <c r="BY38" s="49">
        <v>144.39999600000002</v>
      </c>
      <c r="BZ38" s="49">
        <v>834.98687599999994</v>
      </c>
      <c r="CA38" s="49">
        <v>2031.356088</v>
      </c>
      <c r="CB38" s="49">
        <v>265.28541200000001</v>
      </c>
      <c r="CC38" s="49">
        <v>116.85666400000001</v>
      </c>
      <c r="CD38" s="49">
        <v>67.813715999999999</v>
      </c>
      <c r="CE38" s="49">
        <v>60.671008</v>
      </c>
      <c r="CF38" s="49">
        <v>292.75512400000002</v>
      </c>
      <c r="CG38" s="49">
        <v>58.499848</v>
      </c>
      <c r="CH38" s="49">
        <v>47.700868</v>
      </c>
      <c r="CJ38">
        <f t="shared" si="3"/>
        <v>1998</v>
      </c>
      <c r="CK38" s="7">
        <f t="shared" si="4"/>
        <v>14659.114711999997</v>
      </c>
      <c r="CL38" s="44">
        <f>AER11_Table2.1d!U61*0.001</f>
        <v>23176.762999999999</v>
      </c>
      <c r="CM38">
        <f t="shared" si="5"/>
        <v>0.63249189336750766</v>
      </c>
    </row>
    <row r="39" spans="6:91" x14ac:dyDescent="0.2">
      <c r="F39" t="s">
        <v>111</v>
      </c>
      <c r="G39" s="5">
        <f t="shared" ref="G39:V39" si="50">$X17*G17</f>
        <v>1117.4103450383041</v>
      </c>
      <c r="H39" s="5">
        <f t="shared" si="50"/>
        <v>1169.4053021794657</v>
      </c>
      <c r="I39" s="5">
        <f t="shared" si="50"/>
        <v>1209.1243584394715</v>
      </c>
      <c r="J39" s="5">
        <f t="shared" si="50"/>
        <v>1159.8330046800086</v>
      </c>
      <c r="K39" s="5">
        <f t="shared" si="50"/>
        <v>1166.0564308853952</v>
      </c>
      <c r="L39" s="5">
        <f t="shared" si="50"/>
        <v>1035.47811887231</v>
      </c>
      <c r="M39" s="5">
        <f t="shared" si="50"/>
        <v>1081.96606517787</v>
      </c>
      <c r="N39" s="5">
        <f t="shared" si="50"/>
        <v>1108.475410178173</v>
      </c>
      <c r="O39" s="5">
        <f t="shared" si="50"/>
        <v>1121.6910503926601</v>
      </c>
      <c r="P39" s="5">
        <f t="shared" si="50"/>
        <v>1110.4477758031253</v>
      </c>
      <c r="Q39" s="5">
        <f t="shared" si="50"/>
        <v>984.83199894460563</v>
      </c>
      <c r="R39" s="5">
        <f t="shared" si="50"/>
        <v>939.40731186371977</v>
      </c>
      <c r="S39" s="5">
        <f t="shared" si="50"/>
        <v>785.08748857552825</v>
      </c>
      <c r="T39" s="5">
        <f t="shared" si="50"/>
        <v>856.96223110887286</v>
      </c>
      <c r="U39" s="5">
        <f t="shared" si="50"/>
        <v>866.90508828235647</v>
      </c>
      <c r="V39" s="5">
        <f t="shared" si="50"/>
        <v>791.01545520082436</v>
      </c>
      <c r="W39" s="39">
        <f t="shared" si="21"/>
        <v>833.84549437982139</v>
      </c>
      <c r="X39" s="39">
        <f t="shared" si="22"/>
        <v>865.36110422201477</v>
      </c>
      <c r="Y39" s="39">
        <f t="shared" si="23"/>
        <v>884.64406029384702</v>
      </c>
      <c r="Z39" s="39">
        <f t="shared" si="24"/>
        <v>872.26871686531888</v>
      </c>
      <c r="AA39" s="39">
        <f t="shared" si="24"/>
        <v>839.79715936733282</v>
      </c>
      <c r="AB39" s="39">
        <f t="shared" si="24"/>
        <v>788.81428212035598</v>
      </c>
      <c r="AC39" s="39">
        <f t="shared" si="24"/>
        <v>834.39754001449057</v>
      </c>
      <c r="AD39" s="39">
        <f t="shared" si="24"/>
        <v>866.94246720947717</v>
      </c>
      <c r="AE39" s="39">
        <f t="shared" si="24"/>
        <v>822.05619657793363</v>
      </c>
      <c r="AF39" s="39">
        <f t="shared" si="24"/>
        <v>836.37810053118699</v>
      </c>
      <c r="AG39" s="39">
        <f t="shared" si="24"/>
        <v>768.59394669215737</v>
      </c>
      <c r="AH39" s="39">
        <f t="shared" si="24"/>
        <v>781.48054541412921</v>
      </c>
      <c r="AI39" s="39">
        <f t="shared" si="24"/>
        <v>834.98687599999994</v>
      </c>
      <c r="AJ39" s="39">
        <f t="shared" si="24"/>
        <v>887.75742962271181</v>
      </c>
      <c r="AK39" s="39">
        <f t="shared" si="24"/>
        <v>860.3030388807673</v>
      </c>
      <c r="AL39" s="39">
        <f t="shared" si="24"/>
        <v>844.57954689595817</v>
      </c>
      <c r="AM39" s="39">
        <f t="shared" si="24"/>
        <v>910.76708400000007</v>
      </c>
      <c r="AN39" s="39">
        <f t="shared" si="24"/>
        <v>843.66258808021871</v>
      </c>
      <c r="AO39" s="39">
        <f t="shared" si="24"/>
        <v>846.35668023327139</v>
      </c>
      <c r="AP39" s="39">
        <f t="shared" si="25"/>
        <v>887.23108283057456</v>
      </c>
      <c r="AQ39" s="39">
        <f t="shared" si="25"/>
        <v>958.36588800000004</v>
      </c>
      <c r="AR39" s="39">
        <f t="shared" si="25"/>
        <v>888.6890971564701</v>
      </c>
      <c r="AS39" s="39">
        <f t="shared" si="26"/>
        <v>744.58615673498946</v>
      </c>
      <c r="AT39" s="39">
        <f t="shared" si="27"/>
        <v>646.20773136287312</v>
      </c>
      <c r="AU39" s="39">
        <f t="shared" si="28"/>
        <v>600</v>
      </c>
      <c r="AV39" s="39">
        <f t="shared" si="29"/>
        <v>611.9249777848737</v>
      </c>
      <c r="AW39" s="39">
        <f t="shared" ref="AW39:AY39" si="51">BA17</f>
        <v>624.0796384681654</v>
      </c>
      <c r="AX39" s="39">
        <f t="shared" si="51"/>
        <v>679.69946888069933</v>
      </c>
      <c r="AY39" s="39">
        <f t="shared" si="51"/>
        <v>699</v>
      </c>
      <c r="AZ39" s="39">
        <f t="shared" si="31"/>
        <v>721.54524566856969</v>
      </c>
      <c r="BA39" s="39">
        <f t="shared" si="32"/>
        <v>777.91367304417702</v>
      </c>
      <c r="BB39" s="39">
        <f t="shared" si="33"/>
        <v>714.07677883262534</v>
      </c>
      <c r="BP39">
        <f t="shared" si="6"/>
        <v>1999</v>
      </c>
      <c r="BQ39" s="49">
        <v>935.17439841307237</v>
      </c>
      <c r="BR39" s="49">
        <v>187.31181548387343</v>
      </c>
      <c r="BS39" s="49">
        <v>34.727399494976886</v>
      </c>
      <c r="BT39" s="49">
        <v>456.65878470026882</v>
      </c>
      <c r="BU39" s="49">
        <v>2465.1884562264563</v>
      </c>
      <c r="BV39" s="49">
        <v>52.164830887173935</v>
      </c>
      <c r="BW39" s="49">
        <v>3559.9686790500004</v>
      </c>
      <c r="BX39" s="49">
        <v>3311.1447124275678</v>
      </c>
      <c r="BY39" s="49">
        <v>163.77373974259751</v>
      </c>
      <c r="BZ39" s="49">
        <v>887.75742962271181</v>
      </c>
      <c r="CA39" s="49">
        <v>1927.9607115402796</v>
      </c>
      <c r="CB39" s="49">
        <v>288.74371654908276</v>
      </c>
      <c r="CC39" s="49">
        <v>123.53689957565348</v>
      </c>
      <c r="CD39" s="49">
        <v>75.412349760347183</v>
      </c>
      <c r="CE39" s="49">
        <v>66.741514974897328</v>
      </c>
      <c r="CF39" s="49">
        <v>276.64336592279864</v>
      </c>
      <c r="CG39" s="49">
        <v>60.507721609016151</v>
      </c>
      <c r="CH39" s="49">
        <v>46.745155175063296</v>
      </c>
      <c r="CJ39">
        <f t="shared" si="3"/>
        <v>1999</v>
      </c>
      <c r="CK39" s="7">
        <f t="shared" si="4"/>
        <v>14920.161681155838</v>
      </c>
      <c r="CL39" s="44">
        <f>AER11_Table2.1d!U62*0.001</f>
        <v>22950.138999999999</v>
      </c>
      <c r="CM39">
        <f t="shared" si="5"/>
        <v>0.65011203989465327</v>
      </c>
    </row>
    <row r="40" spans="6:91" x14ac:dyDescent="0.2">
      <c r="F40" t="s">
        <v>112</v>
      </c>
      <c r="G40" s="5">
        <f t="shared" ref="G40:V40" si="52">$X18*G18</f>
        <v>3864.937493867963</v>
      </c>
      <c r="H40" s="5">
        <f t="shared" si="52"/>
        <v>3608.6021000310971</v>
      </c>
      <c r="I40" s="5">
        <f t="shared" si="52"/>
        <v>3785.5386145932266</v>
      </c>
      <c r="J40" s="5">
        <f t="shared" si="52"/>
        <v>4111.2014447395004</v>
      </c>
      <c r="K40" s="5">
        <f t="shared" si="52"/>
        <v>3959.3259398847586</v>
      </c>
      <c r="L40" s="5">
        <f t="shared" si="52"/>
        <v>3317.3109261313675</v>
      </c>
      <c r="M40" s="5">
        <f t="shared" si="52"/>
        <v>3401.9293768233933</v>
      </c>
      <c r="N40" s="5">
        <f t="shared" si="52"/>
        <v>3345.2362405259669</v>
      </c>
      <c r="O40" s="5">
        <f t="shared" si="52"/>
        <v>3518.5332993251623</v>
      </c>
      <c r="P40" s="5">
        <f t="shared" si="52"/>
        <v>3553.3532623192036</v>
      </c>
      <c r="Q40" s="5">
        <f t="shared" si="52"/>
        <v>2885.7306579716974</v>
      </c>
      <c r="R40" s="5">
        <f t="shared" si="52"/>
        <v>2863.4257409779875</v>
      </c>
      <c r="S40" s="5">
        <f t="shared" si="52"/>
        <v>1939.1872750254779</v>
      </c>
      <c r="T40" s="5">
        <f t="shared" si="52"/>
        <v>2131.381677855878</v>
      </c>
      <c r="U40" s="5">
        <f t="shared" si="52"/>
        <v>2131.9359881692862</v>
      </c>
      <c r="V40" s="5">
        <f t="shared" si="52"/>
        <v>1931.5726855408925</v>
      </c>
      <c r="W40" s="39">
        <f t="shared" si="21"/>
        <v>1819.4681276410374</v>
      </c>
      <c r="X40" s="39">
        <f t="shared" si="22"/>
        <v>1819.8952963174174</v>
      </c>
      <c r="Y40" s="39">
        <f t="shared" si="23"/>
        <v>2134.8918237453663</v>
      </c>
      <c r="Z40" s="39">
        <f t="shared" si="24"/>
        <v>2135.9489196898717</v>
      </c>
      <c r="AA40" s="39">
        <f t="shared" si="24"/>
        <v>2058.910056035751</v>
      </c>
      <c r="AB40" s="39">
        <f t="shared" si="24"/>
        <v>1811.54797443144</v>
      </c>
      <c r="AC40" s="39">
        <f t="shared" si="24"/>
        <v>1860.7007555363432</v>
      </c>
      <c r="AD40" s="39">
        <f t="shared" si="24"/>
        <v>1980.5512991134312</v>
      </c>
      <c r="AE40" s="39">
        <f t="shared" si="24"/>
        <v>2096.657607556745</v>
      </c>
      <c r="AF40" s="39">
        <f t="shared" si="24"/>
        <v>2018.3220014173257</v>
      </c>
      <c r="AG40" s="39">
        <f t="shared" si="24"/>
        <v>2087.7303780101934</v>
      </c>
      <c r="AH40" s="39">
        <f t="shared" si="24"/>
        <v>2032.416827386887</v>
      </c>
      <c r="AI40" s="39">
        <f t="shared" si="24"/>
        <v>2031.356088</v>
      </c>
      <c r="AJ40" s="39">
        <f t="shared" si="24"/>
        <v>1927.9607115402796</v>
      </c>
      <c r="AK40" s="39">
        <f t="shared" si="24"/>
        <v>1984.8032031815608</v>
      </c>
      <c r="AL40" s="39">
        <f t="shared" si="24"/>
        <v>1881.1112478914877</v>
      </c>
      <c r="AM40" s="39">
        <f t="shared" si="24"/>
        <v>1629.9591760000001</v>
      </c>
      <c r="AN40" s="39">
        <f t="shared" si="24"/>
        <v>1681.9663811639548</v>
      </c>
      <c r="AO40" s="39">
        <f t="shared" si="24"/>
        <v>1709.7117812587637</v>
      </c>
      <c r="AP40" s="39">
        <f t="shared" si="25"/>
        <v>1414.7412336622619</v>
      </c>
      <c r="AQ40" s="39">
        <f t="shared" si="25"/>
        <v>1285.6831</v>
      </c>
      <c r="AR40" s="39">
        <f t="shared" si="25"/>
        <v>1398.596658536504</v>
      </c>
      <c r="AS40" s="39">
        <f t="shared" si="26"/>
        <v>1367.2205669627242</v>
      </c>
      <c r="AT40" s="39">
        <f t="shared" si="27"/>
        <v>960.90080405798346</v>
      </c>
      <c r="AU40" s="39">
        <f t="shared" si="28"/>
        <v>1255</v>
      </c>
      <c r="AV40" s="39">
        <f t="shared" si="29"/>
        <v>1260.1959118059083</v>
      </c>
      <c r="AW40" s="39">
        <f t="shared" ref="AW40:AY40" si="53">BA18</f>
        <v>1098.7242374193011</v>
      </c>
      <c r="AX40" s="39">
        <f t="shared" si="53"/>
        <v>1200.1910170523031</v>
      </c>
      <c r="AY40" s="39">
        <f t="shared" si="53"/>
        <v>1251</v>
      </c>
      <c r="AZ40" s="39">
        <f t="shared" si="31"/>
        <v>1037.5190144924757</v>
      </c>
      <c r="BA40" s="39">
        <f t="shared" si="32"/>
        <v>971.67780208199395</v>
      </c>
      <c r="BB40" s="39">
        <f t="shared" si="33"/>
        <v>984.99162402591401</v>
      </c>
      <c r="BP40">
        <f t="shared" si="6"/>
        <v>2000</v>
      </c>
      <c r="BQ40" s="49">
        <v>890.52621269592521</v>
      </c>
      <c r="BR40" s="49">
        <v>156.99410743381722</v>
      </c>
      <c r="BS40" s="49">
        <v>27.828729813053091</v>
      </c>
      <c r="BT40" s="49">
        <v>395.38550253374592</v>
      </c>
      <c r="BU40" s="49">
        <v>2357.2657029108259</v>
      </c>
      <c r="BV40" s="49">
        <v>43.975163094048298</v>
      </c>
      <c r="BW40" s="49">
        <v>3613.8718330000002</v>
      </c>
      <c r="BX40" s="49">
        <v>3451.1731051817164</v>
      </c>
      <c r="BY40" s="49">
        <v>170.55457311273068</v>
      </c>
      <c r="BZ40" s="49">
        <v>860.3030388807673</v>
      </c>
      <c r="CA40" s="49">
        <v>1984.8032031815608</v>
      </c>
      <c r="CB40" s="49">
        <v>253.16629233678722</v>
      </c>
      <c r="CC40" s="49">
        <v>105.82598083764137</v>
      </c>
      <c r="CD40" s="49">
        <v>77.55543180251361</v>
      </c>
      <c r="CE40" s="49">
        <v>60.834662292932563</v>
      </c>
      <c r="CF40" s="49">
        <v>246.84021245432757</v>
      </c>
      <c r="CG40" s="49">
        <v>50.020066867969469</v>
      </c>
      <c r="CH40" s="49">
        <v>38.101014045070116</v>
      </c>
      <c r="CJ40">
        <f t="shared" si="3"/>
        <v>2000</v>
      </c>
      <c r="CK40" s="7">
        <f t="shared" si="4"/>
        <v>14785.024832475434</v>
      </c>
      <c r="CL40" s="44">
        <f>AER11_Table2.1d!U63*0.001</f>
        <v>22824.273000000001</v>
      </c>
      <c r="CM40">
        <f t="shared" si="5"/>
        <v>0.64777637528588239</v>
      </c>
    </row>
    <row r="41" spans="6:91" x14ac:dyDescent="0.2">
      <c r="F41" t="s">
        <v>113</v>
      </c>
      <c r="G41" s="5">
        <f t="shared" ref="G41:V41" si="54">$X19*G19</f>
        <v>344.88659524895439</v>
      </c>
      <c r="H41" s="5">
        <f t="shared" si="54"/>
        <v>331.02849974109631</v>
      </c>
      <c r="I41" s="5">
        <f t="shared" si="54"/>
        <v>343.77320812399466</v>
      </c>
      <c r="J41" s="5">
        <f t="shared" si="54"/>
        <v>325.62117898117543</v>
      </c>
      <c r="K41" s="5">
        <f t="shared" si="54"/>
        <v>293.69135137908847</v>
      </c>
      <c r="L41" s="5">
        <f t="shared" si="54"/>
        <v>275.58926308356416</v>
      </c>
      <c r="M41" s="5">
        <f t="shared" si="54"/>
        <v>278.00111223816049</v>
      </c>
      <c r="N41" s="5">
        <f t="shared" si="54"/>
        <v>285.25328852059283</v>
      </c>
      <c r="O41" s="5">
        <f t="shared" si="54"/>
        <v>295.90446588048593</v>
      </c>
      <c r="P41" s="5">
        <f t="shared" si="54"/>
        <v>287.30153484874103</v>
      </c>
      <c r="Q41" s="5">
        <f t="shared" si="54"/>
        <v>268.52909341700325</v>
      </c>
      <c r="R41" s="5">
        <f t="shared" si="54"/>
        <v>258.21315692472746</v>
      </c>
      <c r="S41" s="5">
        <f t="shared" si="54"/>
        <v>255.11123699757593</v>
      </c>
      <c r="T41" s="5">
        <f t="shared" si="54"/>
        <v>253.36571338825021</v>
      </c>
      <c r="U41" s="5">
        <f t="shared" si="54"/>
        <v>244.02633808062384</v>
      </c>
      <c r="V41" s="5">
        <f t="shared" si="54"/>
        <v>218.6220851003327</v>
      </c>
      <c r="W41" s="39">
        <f t="shared" si="21"/>
        <v>236.43141790334087</v>
      </c>
      <c r="X41" s="39">
        <f t="shared" si="22"/>
        <v>242.60813301921721</v>
      </c>
      <c r="Y41" s="39">
        <f t="shared" si="23"/>
        <v>251.14969713900282</v>
      </c>
      <c r="Z41" s="39">
        <f t="shared" si="24"/>
        <v>241.61252681571094</v>
      </c>
      <c r="AA41" s="39">
        <f t="shared" si="24"/>
        <v>222.61909858361435</v>
      </c>
      <c r="AB41" s="39">
        <f t="shared" si="24"/>
        <v>217.28105279356296</v>
      </c>
      <c r="AC41" s="39">
        <f t="shared" si="24"/>
        <v>221.51344199750795</v>
      </c>
      <c r="AD41" s="39">
        <f t="shared" si="24"/>
        <v>238.70978614279537</v>
      </c>
      <c r="AE41" s="39">
        <f t="shared" si="24"/>
        <v>263.57968281835372</v>
      </c>
      <c r="AF41" s="39">
        <f t="shared" si="24"/>
        <v>289.62365431759213</v>
      </c>
      <c r="AG41" s="39">
        <f t="shared" si="24"/>
        <v>248.28781667305427</v>
      </c>
      <c r="AH41" s="39">
        <f t="shared" si="24"/>
        <v>234.68145352408129</v>
      </c>
      <c r="AI41" s="39">
        <f t="shared" si="24"/>
        <v>265.28541200000001</v>
      </c>
      <c r="AJ41" s="39">
        <f t="shared" si="24"/>
        <v>288.74371654908276</v>
      </c>
      <c r="AK41" s="39">
        <f t="shared" si="24"/>
        <v>253.16629233678722</v>
      </c>
      <c r="AL41" s="39">
        <f t="shared" si="24"/>
        <v>236.80312759318167</v>
      </c>
      <c r="AM41" s="39">
        <f t="shared" si="24"/>
        <v>226.21632399999999</v>
      </c>
      <c r="AN41" s="39">
        <f t="shared" si="24"/>
        <v>210.87604467529428</v>
      </c>
      <c r="AO41" s="39">
        <f t="shared" si="24"/>
        <v>206.00060290700236</v>
      </c>
      <c r="AP41" s="39">
        <f t="shared" si="25"/>
        <v>209.91812999611622</v>
      </c>
      <c r="AQ41" s="39">
        <f t="shared" si="25"/>
        <v>253.81542000000002</v>
      </c>
      <c r="AR41" s="39">
        <f t="shared" si="25"/>
        <v>236.27608038255704</v>
      </c>
      <c r="AS41" s="39">
        <f t="shared" si="26"/>
        <v>186.52536210085808</v>
      </c>
      <c r="AT41" s="39">
        <f t="shared" si="27"/>
        <v>192.36823377378479</v>
      </c>
      <c r="AU41" s="39">
        <f t="shared" si="28"/>
        <v>174</v>
      </c>
      <c r="AV41" s="39">
        <f t="shared" si="29"/>
        <v>188.724641806542</v>
      </c>
      <c r="AW41" s="39">
        <f t="shared" ref="AW41:AY41" si="55">BA19</f>
        <v>193.8473245114659</v>
      </c>
      <c r="AX41" s="39">
        <f t="shared" si="55"/>
        <v>197.31845463184905</v>
      </c>
      <c r="AY41" s="39">
        <f t="shared" si="55"/>
        <v>201</v>
      </c>
      <c r="AZ41" s="39">
        <f t="shared" si="31"/>
        <v>243.17904468805639</v>
      </c>
      <c r="BA41" s="39">
        <f t="shared" si="32"/>
        <v>263.59014611965085</v>
      </c>
      <c r="BB41" s="39">
        <f t="shared" si="33"/>
        <v>244.97167709150528</v>
      </c>
      <c r="BP41">
        <f t="shared" si="6"/>
        <v>2001</v>
      </c>
      <c r="BQ41" s="49">
        <v>981.79189817683255</v>
      </c>
      <c r="BR41" s="49">
        <v>156.54886822367064</v>
      </c>
      <c r="BS41" s="49">
        <v>25.821803000550606</v>
      </c>
      <c r="BT41" s="49">
        <v>334.95065632387758</v>
      </c>
      <c r="BU41" s="49">
        <v>2298.5199852617166</v>
      </c>
      <c r="BV41" s="49">
        <v>43.927533603441304</v>
      </c>
      <c r="BW41" s="49">
        <v>3494.7027549010036</v>
      </c>
      <c r="BX41" s="49">
        <v>3269.7219092965011</v>
      </c>
      <c r="BY41" s="49">
        <v>170.96821812825092</v>
      </c>
      <c r="BZ41" s="49">
        <v>844.57954689595817</v>
      </c>
      <c r="CA41" s="49">
        <v>1881.1112478914877</v>
      </c>
      <c r="CB41" s="49">
        <v>236.80312759318167</v>
      </c>
      <c r="CC41" s="49">
        <v>100.6870972290484</v>
      </c>
      <c r="CD41" s="49">
        <v>65.334678752934266</v>
      </c>
      <c r="CE41" s="49">
        <v>57.139295822194057</v>
      </c>
      <c r="CF41" s="49">
        <v>257.20038854295694</v>
      </c>
      <c r="CG41" s="49">
        <v>42.856703444423736</v>
      </c>
      <c r="CH41" s="49">
        <v>33.200659911387405</v>
      </c>
      <c r="CJ41">
        <f t="shared" si="3"/>
        <v>2001</v>
      </c>
      <c r="CK41" s="7">
        <f t="shared" si="4"/>
        <v>14295.866372999417</v>
      </c>
      <c r="CL41" s="44">
        <f>AER11_Table2.1d!U64*0.001</f>
        <v>21793.850000000002</v>
      </c>
      <c r="CM41">
        <f t="shared" si="5"/>
        <v>0.65595873941499161</v>
      </c>
    </row>
    <row r="42" spans="6:91" x14ac:dyDescent="0.2">
      <c r="F42" t="s">
        <v>114</v>
      </c>
      <c r="G42" s="5">
        <f t="shared" ref="G42:V42" si="56">$X20*G20</f>
        <v>205.43169611777287</v>
      </c>
      <c r="H42" s="5">
        <f t="shared" si="56"/>
        <v>209.66272055006277</v>
      </c>
      <c r="I42" s="5">
        <f t="shared" si="56"/>
        <v>218.39703797300956</v>
      </c>
      <c r="J42" s="5">
        <f t="shared" si="56"/>
        <v>210.94368618770071</v>
      </c>
      <c r="K42" s="5">
        <f t="shared" si="56"/>
        <v>200.25859350879159</v>
      </c>
      <c r="L42" s="5">
        <f t="shared" si="56"/>
        <v>183.33232342411438</v>
      </c>
      <c r="M42" s="5">
        <f t="shared" si="56"/>
        <v>180.21861384703968</v>
      </c>
      <c r="N42" s="5">
        <f t="shared" si="56"/>
        <v>163.98140169242498</v>
      </c>
      <c r="O42" s="5">
        <f t="shared" si="56"/>
        <v>169.4214943772657</v>
      </c>
      <c r="P42" s="5">
        <f t="shared" si="56"/>
        <v>171.43799219024862</v>
      </c>
      <c r="Q42" s="5">
        <f t="shared" si="56"/>
        <v>159.98993177375115</v>
      </c>
      <c r="R42" s="5">
        <f t="shared" si="56"/>
        <v>149.91649472996102</v>
      </c>
      <c r="S42" s="5">
        <f t="shared" si="56"/>
        <v>146.71824713642917</v>
      </c>
      <c r="T42" s="5">
        <f t="shared" si="56"/>
        <v>141.06442348681631</v>
      </c>
      <c r="U42" s="5">
        <f t="shared" si="56"/>
        <v>139.366750624193</v>
      </c>
      <c r="V42" s="5">
        <f t="shared" si="56"/>
        <v>118.55685257512636</v>
      </c>
      <c r="W42" s="39">
        <f t="shared" si="21"/>
        <v>131.76262360948817</v>
      </c>
      <c r="X42" s="39">
        <f t="shared" si="22"/>
        <v>133.59407668064966</v>
      </c>
      <c r="Y42" s="39">
        <f t="shared" si="23"/>
        <v>138.88393804304263</v>
      </c>
      <c r="Z42" s="39">
        <f t="shared" si="24"/>
        <v>135.84765730352257</v>
      </c>
      <c r="AA42" s="39">
        <f t="shared" si="24"/>
        <v>120.63206911012374</v>
      </c>
      <c r="AB42" s="39">
        <f t="shared" si="24"/>
        <v>113.47965946591772</v>
      </c>
      <c r="AC42" s="39">
        <f t="shared" si="24"/>
        <v>107.05467343210731</v>
      </c>
      <c r="AD42" s="39">
        <f t="shared" si="24"/>
        <v>108.0675573372492</v>
      </c>
      <c r="AE42" s="39">
        <f t="shared" si="24"/>
        <v>112.92234511482371</v>
      </c>
      <c r="AF42" s="39">
        <f t="shared" si="24"/>
        <v>126.83165939971266</v>
      </c>
      <c r="AG42" s="39">
        <f t="shared" si="24"/>
        <v>112.60870645818754</v>
      </c>
      <c r="AH42" s="39">
        <f t="shared" si="24"/>
        <v>106.43670136428443</v>
      </c>
      <c r="AI42" s="39">
        <f t="shared" si="24"/>
        <v>116.85666400000001</v>
      </c>
      <c r="AJ42" s="39">
        <f t="shared" si="24"/>
        <v>123.53689957565348</v>
      </c>
      <c r="AK42" s="39">
        <f t="shared" si="24"/>
        <v>105.82598083764137</v>
      </c>
      <c r="AL42" s="39">
        <f t="shared" si="24"/>
        <v>100.6870972290484</v>
      </c>
      <c r="AM42" s="39">
        <f t="shared" si="24"/>
        <v>91.191044000000005</v>
      </c>
      <c r="AN42" s="39">
        <f t="shared" si="24"/>
        <v>77.406168726625395</v>
      </c>
      <c r="AO42" s="39">
        <f t="shared" si="24"/>
        <v>80.038938927797375</v>
      </c>
      <c r="AP42" s="39">
        <f t="shared" si="25"/>
        <v>81.01961365117613</v>
      </c>
      <c r="AQ42" s="39">
        <f t="shared" si="25"/>
        <v>93.471671999999998</v>
      </c>
      <c r="AR42" s="39">
        <f t="shared" si="25"/>
        <v>100.2520387130355</v>
      </c>
      <c r="AS42" s="39">
        <f t="shared" si="26"/>
        <v>78.853051261641937</v>
      </c>
      <c r="AT42" s="39">
        <f t="shared" si="27"/>
        <v>87.825004558862744</v>
      </c>
      <c r="AU42" s="39">
        <f t="shared" si="28"/>
        <v>78</v>
      </c>
      <c r="AV42" s="39">
        <f t="shared" si="29"/>
        <v>87.855529195606763</v>
      </c>
      <c r="AW42" s="39">
        <f t="shared" ref="AW42:AY42" si="57">BA20</f>
        <v>83.277537047934089</v>
      </c>
      <c r="AX42" s="39">
        <f t="shared" si="57"/>
        <v>85.159713195512765</v>
      </c>
      <c r="AY42" s="39">
        <f t="shared" si="57"/>
        <v>84</v>
      </c>
      <c r="AZ42" s="39">
        <f t="shared" si="31"/>
        <v>91.210008731150793</v>
      </c>
      <c r="BA42" s="39">
        <f t="shared" si="32"/>
        <v>95.547646245422513</v>
      </c>
      <c r="BB42" s="39">
        <f t="shared" si="33"/>
        <v>93.885723189927347</v>
      </c>
      <c r="BP42">
        <f t="shared" si="6"/>
        <v>2002</v>
      </c>
      <c r="BQ42" s="49">
        <v>963.55408</v>
      </c>
      <c r="BR42" s="49">
        <v>161.77534800000001</v>
      </c>
      <c r="BS42" s="49">
        <v>22.314752000000002</v>
      </c>
      <c r="BT42" s="49">
        <v>303.39918</v>
      </c>
      <c r="BU42" s="49">
        <v>2137.503764</v>
      </c>
      <c r="BV42" s="49">
        <v>47.795832000000004</v>
      </c>
      <c r="BW42" s="49">
        <v>3075.1213680000001</v>
      </c>
      <c r="BX42" s="49">
        <v>3246.609152</v>
      </c>
      <c r="BY42" s="49">
        <v>166.54642800000002</v>
      </c>
      <c r="BZ42" s="49">
        <v>910.76708400000007</v>
      </c>
      <c r="CA42" s="49">
        <v>1629.9591760000001</v>
      </c>
      <c r="CB42" s="49">
        <v>226.21632399999999</v>
      </c>
      <c r="CC42" s="49">
        <v>91.191044000000005</v>
      </c>
      <c r="CD42" s="49">
        <v>69.142976000000004</v>
      </c>
      <c r="CE42" s="49">
        <v>55.569788000000003</v>
      </c>
      <c r="CF42" s="49">
        <v>251.66670399999998</v>
      </c>
      <c r="CG42" s="49">
        <v>38.904455999999996</v>
      </c>
      <c r="CH42" s="49">
        <v>35.603912000000001</v>
      </c>
      <c r="CJ42">
        <f t="shared" si="3"/>
        <v>2002</v>
      </c>
      <c r="CK42" s="7">
        <f t="shared" si="4"/>
        <v>13433.641368000002</v>
      </c>
      <c r="CL42" s="44">
        <f>AER11_Table2.1d!U65*0.001</f>
        <v>21799.047999999999</v>
      </c>
      <c r="CM42">
        <f t="shared" si="5"/>
        <v>0.61624899252481136</v>
      </c>
    </row>
    <row r="43" spans="6:91" x14ac:dyDescent="0.2">
      <c r="F43" t="s">
        <v>115</v>
      </c>
      <c r="G43" s="5">
        <f t="shared" ref="G43:V43" si="58">$X21*G21</f>
        <v>74.994206099761243</v>
      </c>
      <c r="H43" s="5">
        <f t="shared" si="58"/>
        <v>75.879990271664923</v>
      </c>
      <c r="I43" s="5">
        <f t="shared" si="58"/>
        <v>74.747061380193131</v>
      </c>
      <c r="J43" s="5">
        <f t="shared" si="58"/>
        <v>64.99906124642898</v>
      </c>
      <c r="K43" s="5">
        <f t="shared" si="58"/>
        <v>54.711571164345017</v>
      </c>
      <c r="L43" s="5">
        <f t="shared" si="58"/>
        <v>55.200028279715859</v>
      </c>
      <c r="M43" s="5">
        <f t="shared" si="58"/>
        <v>54.859566379897664</v>
      </c>
      <c r="N43" s="5">
        <f t="shared" si="58"/>
        <v>52.983336111267811</v>
      </c>
      <c r="O43" s="5">
        <f t="shared" si="58"/>
        <v>56.9354068358452</v>
      </c>
      <c r="P43" s="5">
        <f t="shared" si="58"/>
        <v>53.106404776990686</v>
      </c>
      <c r="Q43" s="5">
        <f t="shared" si="58"/>
        <v>52.692981163001093</v>
      </c>
      <c r="R43" s="5">
        <f t="shared" si="58"/>
        <v>50.110291723208206</v>
      </c>
      <c r="S43" s="5">
        <f t="shared" si="58"/>
        <v>56.145183757856287</v>
      </c>
      <c r="T43" s="5">
        <f t="shared" si="58"/>
        <v>56.920181481751008</v>
      </c>
      <c r="U43" s="5">
        <f t="shared" si="58"/>
        <v>57.108867653751616</v>
      </c>
      <c r="V43" s="5">
        <f t="shared" si="58"/>
        <v>54.78945572429496</v>
      </c>
      <c r="W43" s="39">
        <f t="shared" si="21"/>
        <v>56.773381394787812</v>
      </c>
      <c r="X43" s="39">
        <f t="shared" si="22"/>
        <v>60.400035479019486</v>
      </c>
      <c r="Y43" s="39">
        <f t="shared" si="23"/>
        <v>62.693189717341816</v>
      </c>
      <c r="Z43" s="39">
        <f t="shared" si="24"/>
        <v>62.697248115282292</v>
      </c>
      <c r="AA43" s="39">
        <f t="shared" si="24"/>
        <v>58.165999612572094</v>
      </c>
      <c r="AB43" s="39">
        <f t="shared" si="24"/>
        <v>56.220714404637988</v>
      </c>
      <c r="AC43" s="39">
        <f t="shared" si="24"/>
        <v>60.22308177563918</v>
      </c>
      <c r="AD43" s="39">
        <f t="shared" si="24"/>
        <v>64.59076180040033</v>
      </c>
      <c r="AE43" s="39">
        <f t="shared" si="24"/>
        <v>66.930484972733723</v>
      </c>
      <c r="AF43" s="39">
        <f t="shared" si="24"/>
        <v>73.038453387793254</v>
      </c>
      <c r="AG43" s="39">
        <f t="shared" si="24"/>
        <v>72.049060260742735</v>
      </c>
      <c r="AH43" s="39">
        <f t="shared" si="24"/>
        <v>65.619117583298419</v>
      </c>
      <c r="AI43" s="39">
        <f t="shared" si="24"/>
        <v>67.813715999999999</v>
      </c>
      <c r="AJ43" s="39">
        <f t="shared" si="24"/>
        <v>75.412349760347183</v>
      </c>
      <c r="AK43" s="39">
        <f t="shared" si="24"/>
        <v>77.55543180251361</v>
      </c>
      <c r="AL43" s="39">
        <f t="shared" si="24"/>
        <v>65.334678752934266</v>
      </c>
      <c r="AM43" s="39">
        <f t="shared" si="24"/>
        <v>69.142976000000004</v>
      </c>
      <c r="AN43" s="39">
        <f t="shared" si="24"/>
        <v>51.968914187404209</v>
      </c>
      <c r="AO43" s="39">
        <f t="shared" si="24"/>
        <v>42.613564787609363</v>
      </c>
      <c r="AP43" s="39">
        <f t="shared" si="25"/>
        <v>42.539054285313028</v>
      </c>
      <c r="AQ43" s="39">
        <f t="shared" si="25"/>
        <v>47.139291999999998</v>
      </c>
      <c r="AR43" s="39">
        <f t="shared" si="25"/>
        <v>59.317149731278079</v>
      </c>
      <c r="AS43" s="39">
        <f t="shared" si="26"/>
        <v>43.705219316728574</v>
      </c>
      <c r="AT43" s="39">
        <f t="shared" si="27"/>
        <v>43.349239751799061</v>
      </c>
      <c r="AU43" s="39">
        <f t="shared" si="28"/>
        <v>43</v>
      </c>
      <c r="AV43" s="39">
        <f t="shared" si="29"/>
        <v>49.219159610574309</v>
      </c>
      <c r="AW43" s="39">
        <f t="shared" ref="AW43:AY43" si="59">BA21</f>
        <v>52.591791695115887</v>
      </c>
      <c r="AX43" s="39">
        <f t="shared" si="59"/>
        <v>49.834979659611527</v>
      </c>
      <c r="AY43" s="39">
        <f t="shared" si="59"/>
        <v>50</v>
      </c>
      <c r="AZ43" s="39">
        <f t="shared" si="31"/>
        <v>67.394282393857807</v>
      </c>
      <c r="BA43" s="39">
        <f t="shared" si="32"/>
        <v>78.148456594430797</v>
      </c>
      <c r="BB43" s="39">
        <f t="shared" si="33"/>
        <v>115.00668055372442</v>
      </c>
      <c r="BP43">
        <f t="shared" si="6"/>
        <v>2003</v>
      </c>
      <c r="BQ43" s="49">
        <v>908.1512310074819</v>
      </c>
      <c r="BR43" s="49">
        <v>144.82060676734446</v>
      </c>
      <c r="BS43" s="49">
        <v>13.370253732879473</v>
      </c>
      <c r="BT43" s="49">
        <v>315.36572210850733</v>
      </c>
      <c r="BU43" s="49">
        <v>2062.2055493557114</v>
      </c>
      <c r="BV43" s="49">
        <v>39.692067517161526</v>
      </c>
      <c r="BW43" s="49">
        <v>2986.514133005855</v>
      </c>
      <c r="BX43" s="49">
        <v>3278.8496369605023</v>
      </c>
      <c r="BY43" s="49">
        <v>162.38700858836174</v>
      </c>
      <c r="BZ43" s="49">
        <v>843.66258808021871</v>
      </c>
      <c r="CA43" s="49">
        <v>1681.9663811639548</v>
      </c>
      <c r="CB43" s="49">
        <v>210.87604467529428</v>
      </c>
      <c r="CC43" s="49">
        <v>77.406168726625395</v>
      </c>
      <c r="CD43" s="49">
        <v>51.968914187404209</v>
      </c>
      <c r="CE43" s="49">
        <v>46.141970005738216</v>
      </c>
      <c r="CF43" s="49">
        <v>229.98821579246055</v>
      </c>
      <c r="CG43" s="49">
        <v>29.433026608129488</v>
      </c>
      <c r="CH43" s="49">
        <v>30.337702942254708</v>
      </c>
      <c r="CJ43">
        <f t="shared" si="3"/>
        <v>2003</v>
      </c>
      <c r="CK43" s="7">
        <f t="shared" si="4"/>
        <v>13113.137221225885</v>
      </c>
      <c r="CL43" s="44">
        <v>21534</v>
      </c>
      <c r="CM43">
        <f t="shared" si="5"/>
        <v>0.60895036784739875</v>
      </c>
    </row>
    <row r="44" spans="6:91" x14ac:dyDescent="0.2">
      <c r="F44" t="s">
        <v>116</v>
      </c>
      <c r="G44" s="5">
        <f t="shared" ref="G44:V44" si="60">$X22*G22</f>
        <v>105.66084719365652</v>
      </c>
      <c r="H44" s="5">
        <f t="shared" si="60"/>
        <v>104.94400315600448</v>
      </c>
      <c r="I44" s="5">
        <f t="shared" si="60"/>
        <v>110.22258197871564</v>
      </c>
      <c r="J44" s="5">
        <f t="shared" si="60"/>
        <v>107.88458131294843</v>
      </c>
      <c r="K44" s="5">
        <f t="shared" si="60"/>
        <v>95.738404505607377</v>
      </c>
      <c r="L44" s="5">
        <f t="shared" si="60"/>
        <v>82.895915930684069</v>
      </c>
      <c r="M44" s="5">
        <f t="shared" si="60"/>
        <v>87.675471319961019</v>
      </c>
      <c r="N44" s="5">
        <f t="shared" si="60"/>
        <v>84.714250197230314</v>
      </c>
      <c r="O44" s="5">
        <f t="shared" si="60"/>
        <v>86.547545354139999</v>
      </c>
      <c r="P44" s="5">
        <f t="shared" si="60"/>
        <v>87.165287787165781</v>
      </c>
      <c r="Q44" s="5">
        <f t="shared" si="60"/>
        <v>79.10024335567347</v>
      </c>
      <c r="R44" s="5">
        <f t="shared" si="60"/>
        <v>75.069692323553895</v>
      </c>
      <c r="S44" s="5">
        <f t="shared" si="60"/>
        <v>71.438470733898484</v>
      </c>
      <c r="T44" s="5">
        <f t="shared" si="60"/>
        <v>74.6434952451839</v>
      </c>
      <c r="U44" s="5">
        <f t="shared" si="60"/>
        <v>72.050738028216614</v>
      </c>
      <c r="V44" s="5">
        <f t="shared" si="60"/>
        <v>62.919467623803939</v>
      </c>
      <c r="W44" s="39">
        <f t="shared" si="21"/>
        <v>69.916919680982033</v>
      </c>
      <c r="X44" s="39">
        <f t="shared" si="22"/>
        <v>67.361584373291663</v>
      </c>
      <c r="Y44" s="39">
        <f t="shared" si="23"/>
        <v>64.55717435203718</v>
      </c>
      <c r="Z44" s="39">
        <f t="shared" si="24"/>
        <v>64.994227835018435</v>
      </c>
      <c r="AA44" s="39">
        <f t="shared" si="24"/>
        <v>57.975944538459906</v>
      </c>
      <c r="AB44" s="39">
        <f t="shared" si="24"/>
        <v>55.611292613491038</v>
      </c>
      <c r="AC44" s="39">
        <f t="shared" si="24"/>
        <v>57.234985489425249</v>
      </c>
      <c r="AD44" s="39">
        <f t="shared" si="24"/>
        <v>62.688490345889321</v>
      </c>
      <c r="AE44" s="39">
        <f t="shared" si="24"/>
        <v>67.848599515192888</v>
      </c>
      <c r="AF44" s="39">
        <f t="shared" si="24"/>
        <v>77.856750209741236</v>
      </c>
      <c r="AG44" s="39">
        <f t="shared" si="24"/>
        <v>67.460163031968875</v>
      </c>
      <c r="AH44" s="39">
        <f t="shared" si="24"/>
        <v>58.848707074425718</v>
      </c>
      <c r="AI44" s="39">
        <f t="shared" si="24"/>
        <v>60.671008</v>
      </c>
      <c r="AJ44" s="39">
        <f t="shared" si="24"/>
        <v>66.741514974897328</v>
      </c>
      <c r="AK44" s="39">
        <f t="shared" si="24"/>
        <v>60.834662292932563</v>
      </c>
      <c r="AL44" s="39">
        <f t="shared" si="24"/>
        <v>57.139295822194057</v>
      </c>
      <c r="AM44" s="39">
        <f t="shared" si="24"/>
        <v>55.569788000000003</v>
      </c>
      <c r="AN44" s="39">
        <f t="shared" si="24"/>
        <v>46.141970005738216</v>
      </c>
      <c r="AO44" s="39">
        <f t="shared" si="24"/>
        <v>40.590875635963556</v>
      </c>
      <c r="AP44" s="39">
        <f t="shared" si="25"/>
        <v>39.675361294282581</v>
      </c>
      <c r="AQ44" s="39">
        <f t="shared" si="25"/>
        <v>43.097796000000002</v>
      </c>
      <c r="AR44" s="39">
        <f t="shared" si="25"/>
        <v>45.825803281131591</v>
      </c>
      <c r="AS44" s="39">
        <f t="shared" si="26"/>
        <v>37.150422470058906</v>
      </c>
      <c r="AT44" s="39">
        <f t="shared" si="27"/>
        <v>36.104547894183433</v>
      </c>
      <c r="AU44" s="39">
        <f t="shared" si="28"/>
        <v>38</v>
      </c>
      <c r="AV44" s="39">
        <f t="shared" si="29"/>
        <v>37.494398211204988</v>
      </c>
      <c r="AW44" s="39">
        <f t="shared" ref="AW44:AY44" si="61">BA22</f>
        <v>33.121930438388155</v>
      </c>
      <c r="AX44" s="39">
        <f t="shared" si="61"/>
        <v>28.316056303566675</v>
      </c>
      <c r="AY44" s="39">
        <f t="shared" si="61"/>
        <v>31</v>
      </c>
      <c r="AZ44" s="39">
        <f t="shared" si="31"/>
        <v>36.617221564145147</v>
      </c>
      <c r="BA44" s="39">
        <f t="shared" si="32"/>
        <v>40.504609252761661</v>
      </c>
      <c r="BB44" s="39">
        <f t="shared" si="33"/>
        <v>37.768124814892275</v>
      </c>
      <c r="BP44">
        <f t="shared" si="6"/>
        <v>2004</v>
      </c>
      <c r="BQ44" s="49">
        <v>876.87404509058865</v>
      </c>
      <c r="BR44" s="49">
        <v>150.15509141889578</v>
      </c>
      <c r="BS44" s="49">
        <v>12.950620915309582</v>
      </c>
      <c r="BT44" s="49">
        <v>334.05313526607807</v>
      </c>
      <c r="BU44" s="49">
        <v>2028.3709641295484</v>
      </c>
      <c r="BV44" s="49">
        <v>39.966826921984563</v>
      </c>
      <c r="BW44" s="49">
        <v>3077.7580838021422</v>
      </c>
      <c r="BX44" s="49">
        <v>3050.2080438901307</v>
      </c>
      <c r="BY44" s="49">
        <v>156.34521408513098</v>
      </c>
      <c r="BZ44" s="49">
        <v>846.35668023327139</v>
      </c>
      <c r="CA44" s="49">
        <v>1709.7117812587637</v>
      </c>
      <c r="CB44" s="49">
        <v>206.00060290700236</v>
      </c>
      <c r="CC44" s="49">
        <v>80.038938927797375</v>
      </c>
      <c r="CD44" s="49">
        <v>42.613564787609363</v>
      </c>
      <c r="CE44" s="49">
        <v>40.590875635963556</v>
      </c>
      <c r="CF44" s="49">
        <v>241.72063665115977</v>
      </c>
      <c r="CG44" s="49">
        <v>28.467484332631365</v>
      </c>
      <c r="CH44" s="49">
        <v>28.689353232890731</v>
      </c>
      <c r="CJ44">
        <f t="shared" si="3"/>
        <v>2004</v>
      </c>
      <c r="CK44" s="7">
        <f t="shared" si="4"/>
        <v>12950.8719434869</v>
      </c>
      <c r="CL44" s="44">
        <f>AER11_Table2.1d!U67*0.001</f>
        <v>22412.057000000001</v>
      </c>
      <c r="CM44">
        <f t="shared" si="5"/>
        <v>0.57785289157023378</v>
      </c>
    </row>
    <row r="45" spans="6:91" x14ac:dyDescent="0.2">
      <c r="F45" t="s">
        <v>117</v>
      </c>
      <c r="G45" s="5">
        <f t="shared" ref="G45:V45" si="62">$X23*G23</f>
        <v>291.57455618133025</v>
      </c>
      <c r="H45" s="5">
        <f t="shared" si="62"/>
        <v>305.33717812676463</v>
      </c>
      <c r="I45" s="5">
        <f t="shared" si="62"/>
        <v>312.66549800977111</v>
      </c>
      <c r="J45" s="5">
        <f t="shared" si="62"/>
        <v>293.10981567003518</v>
      </c>
      <c r="K45" s="5">
        <f t="shared" si="62"/>
        <v>278.49585239729356</v>
      </c>
      <c r="L45" s="5">
        <f t="shared" si="62"/>
        <v>261.61018655965438</v>
      </c>
      <c r="M45" s="5">
        <f t="shared" si="62"/>
        <v>287.01035993942787</v>
      </c>
      <c r="N45" s="5">
        <f t="shared" si="62"/>
        <v>304.37811782877924</v>
      </c>
      <c r="O45" s="5">
        <f t="shared" si="62"/>
        <v>312.69301477526511</v>
      </c>
      <c r="P45" s="5">
        <f t="shared" si="62"/>
        <v>295.31124400025766</v>
      </c>
      <c r="Q45" s="5">
        <f t="shared" si="62"/>
        <v>259.04671378326719</v>
      </c>
      <c r="R45" s="5">
        <f t="shared" si="62"/>
        <v>245.592678776209</v>
      </c>
      <c r="S45" s="5">
        <f t="shared" si="62"/>
        <v>227.04383602320218</v>
      </c>
      <c r="T45" s="5">
        <f t="shared" si="62"/>
        <v>254.64916290082834</v>
      </c>
      <c r="U45" s="5">
        <f t="shared" si="62"/>
        <v>264.14226388134483</v>
      </c>
      <c r="V45" s="5">
        <f t="shared" si="62"/>
        <v>234.98001273849101</v>
      </c>
      <c r="W45" s="39">
        <f t="shared" si="21"/>
        <v>244.14932796917603</v>
      </c>
      <c r="X45" s="39">
        <f t="shared" si="22"/>
        <v>242.38099655777575</v>
      </c>
      <c r="Y45" s="39">
        <f t="shared" si="23"/>
        <v>254.78050349600764</v>
      </c>
      <c r="Z45" s="39">
        <f t="shared" si="24"/>
        <v>251.14742131079424</v>
      </c>
      <c r="AA45" s="39">
        <f t="shared" si="24"/>
        <v>237.32816845389928</v>
      </c>
      <c r="AB45" s="39">
        <f t="shared" si="24"/>
        <v>244.13057132985355</v>
      </c>
      <c r="AC45" s="39">
        <f t="shared" si="24"/>
        <v>253.07663671240181</v>
      </c>
      <c r="AD45" s="39">
        <f t="shared" si="24"/>
        <v>281.57130919761488</v>
      </c>
      <c r="AE45" s="39">
        <f t="shared" si="24"/>
        <v>260.23443301298028</v>
      </c>
      <c r="AF45" s="39">
        <f t="shared" si="24"/>
        <v>278.41898668330401</v>
      </c>
      <c r="AG45" s="39">
        <f t="shared" si="24"/>
        <v>260.19136025138812</v>
      </c>
      <c r="AH45" s="39">
        <f t="shared" si="24"/>
        <v>258.23641416413506</v>
      </c>
      <c r="AI45" s="39">
        <f t="shared" si="24"/>
        <v>292.75512400000002</v>
      </c>
      <c r="AJ45" s="39">
        <f t="shared" si="24"/>
        <v>276.64336592279864</v>
      </c>
      <c r="AK45" s="39">
        <f t="shared" si="24"/>
        <v>246.84021245432757</v>
      </c>
      <c r="AL45" s="39">
        <f t="shared" si="24"/>
        <v>257.20038854295694</v>
      </c>
      <c r="AM45" s="39">
        <f t="shared" si="24"/>
        <v>251.66670399999998</v>
      </c>
      <c r="AN45" s="39">
        <f t="shared" si="24"/>
        <v>229.98821579246055</v>
      </c>
      <c r="AO45" s="39">
        <f t="shared" ref="AO45:AR47" si="63">AS23</f>
        <v>241.72063665115977</v>
      </c>
      <c r="AP45" s="39">
        <f t="shared" si="25"/>
        <v>235.38043019571958</v>
      </c>
      <c r="AQ45" s="39">
        <f t="shared" si="25"/>
        <v>283.93937199999999</v>
      </c>
      <c r="AR45" s="39">
        <f t="shared" si="25"/>
        <v>255.92503066606668</v>
      </c>
      <c r="AS45" s="39">
        <f t="shared" si="26"/>
        <v>178.02133203826156</v>
      </c>
      <c r="AT45" s="39">
        <f t="shared" si="27"/>
        <v>172.38272816028737</v>
      </c>
      <c r="AU45" s="39">
        <f t="shared" si="28"/>
        <v>143</v>
      </c>
      <c r="AV45" s="39">
        <f t="shared" si="29"/>
        <v>150.92000632672566</v>
      </c>
      <c r="AW45" s="39">
        <f t="shared" ref="AW45:AY45" si="64">BA23</f>
        <v>147.50185586468626</v>
      </c>
      <c r="AX45" s="39">
        <f t="shared" si="64"/>
        <v>152.54903819923609</v>
      </c>
      <c r="AY45" s="39">
        <f t="shared" si="64"/>
        <v>164</v>
      </c>
      <c r="AZ45" s="39">
        <f t="shared" si="31"/>
        <v>195.87148502702223</v>
      </c>
      <c r="BA45" s="39">
        <f t="shared" si="32"/>
        <v>208.49515535683466</v>
      </c>
      <c r="BB45" s="39">
        <f t="shared" si="33"/>
        <v>179.8142879532501</v>
      </c>
      <c r="BP45">
        <f t="shared" si="6"/>
        <v>2005</v>
      </c>
      <c r="BQ45" s="49">
        <v>881.92508034163961</v>
      </c>
      <c r="BR45" s="49">
        <v>157.5923565830285</v>
      </c>
      <c r="BS45" s="49">
        <v>10.444249462603306</v>
      </c>
      <c r="BT45" s="49">
        <v>328.05195783490865</v>
      </c>
      <c r="BU45" s="49">
        <v>2041.520676975912</v>
      </c>
      <c r="BV45" s="49">
        <v>36.753303021623331</v>
      </c>
      <c r="BW45" s="49">
        <v>3370.7901598183917</v>
      </c>
      <c r="BX45" s="49">
        <v>2799.0993758095683</v>
      </c>
      <c r="BY45" s="49">
        <v>150.24560489044413</v>
      </c>
      <c r="BZ45" s="49">
        <v>887.23108283057456</v>
      </c>
      <c r="CA45" s="49">
        <v>1414.7412336622619</v>
      </c>
      <c r="CB45" s="49">
        <v>209.91812999611622</v>
      </c>
      <c r="CC45" s="49">
        <v>81.01961365117613</v>
      </c>
      <c r="CD45" s="49">
        <v>42.539054285313028</v>
      </c>
      <c r="CE45" s="49">
        <v>39.675361294282581</v>
      </c>
      <c r="CF45" s="49">
        <v>235.38043019571958</v>
      </c>
      <c r="CG45" s="49">
        <v>26.177017904743494</v>
      </c>
      <c r="CH45" s="49">
        <v>27.696006039892389</v>
      </c>
      <c r="CJ45">
        <f t="shared" si="3"/>
        <v>2005</v>
      </c>
      <c r="CK45" s="7">
        <f t="shared" si="4"/>
        <v>12740.8006945982</v>
      </c>
      <c r="CL45" s="44">
        <v>21410</v>
      </c>
      <c r="CM45">
        <f t="shared" si="5"/>
        <v>0.59508644066315741</v>
      </c>
    </row>
    <row r="46" spans="6:91" x14ac:dyDescent="0.2">
      <c r="F46" t="s">
        <v>118</v>
      </c>
      <c r="G46" s="5">
        <f t="shared" ref="G46:V46" si="65">$X24*G24</f>
        <v>41.637418450355618</v>
      </c>
      <c r="H46" s="5">
        <f t="shared" si="65"/>
        <v>45.136137426316026</v>
      </c>
      <c r="I46" s="5">
        <f t="shared" si="65"/>
        <v>50.471560662555731</v>
      </c>
      <c r="J46" s="5">
        <f t="shared" si="65"/>
        <v>44.224441887244147</v>
      </c>
      <c r="K46" s="5">
        <f t="shared" si="65"/>
        <v>45.016686554556983</v>
      </c>
      <c r="L46" s="5">
        <f t="shared" si="65"/>
        <v>38.122775143277181</v>
      </c>
      <c r="M46" s="5">
        <f t="shared" si="65"/>
        <v>37.911695008283047</v>
      </c>
      <c r="N46" s="5">
        <f t="shared" si="65"/>
        <v>41.259059285128885</v>
      </c>
      <c r="O46" s="5">
        <f t="shared" si="65"/>
        <v>43.625017700421623</v>
      </c>
      <c r="P46" s="5">
        <f t="shared" si="65"/>
        <v>41.539353256530084</v>
      </c>
      <c r="Q46" s="5">
        <f t="shared" si="65"/>
        <v>37.846453060468896</v>
      </c>
      <c r="R46" s="5">
        <f t="shared" si="65"/>
        <v>35.349587816966157</v>
      </c>
      <c r="S46" s="5">
        <f t="shared" si="65"/>
        <v>32.584803977169017</v>
      </c>
      <c r="T46" s="5">
        <f t="shared" si="65"/>
        <v>34.528968276392881</v>
      </c>
      <c r="U46" s="5">
        <f t="shared" si="65"/>
        <v>38.287353267419007</v>
      </c>
      <c r="V46" s="5">
        <f t="shared" si="65"/>
        <v>37.383822846973821</v>
      </c>
      <c r="W46" s="39">
        <f t="shared" si="21"/>
        <v>42.985850897299549</v>
      </c>
      <c r="X46" s="39">
        <f t="shared" si="22"/>
        <v>46.939987356383909</v>
      </c>
      <c r="Y46" s="39">
        <f t="shared" si="23"/>
        <v>48.640156995919362</v>
      </c>
      <c r="Z46" s="39">
        <f t="shared" ref="Z46:AN47" si="66">AD24</f>
        <v>54.790411286187279</v>
      </c>
      <c r="AA46" s="39">
        <f t="shared" si="66"/>
        <v>52.543324444208949</v>
      </c>
      <c r="AB46" s="39">
        <f t="shared" si="66"/>
        <v>55.8843501953478</v>
      </c>
      <c r="AC46" s="39">
        <f t="shared" si="66"/>
        <v>52.652898635297085</v>
      </c>
      <c r="AD46" s="39">
        <f t="shared" si="66"/>
        <v>50.694628080839159</v>
      </c>
      <c r="AE46" s="39">
        <f t="shared" si="66"/>
        <v>47.300771088826892</v>
      </c>
      <c r="AF46" s="39">
        <f t="shared" si="66"/>
        <v>55.003014814745541</v>
      </c>
      <c r="AG46" s="39">
        <f t="shared" si="66"/>
        <v>51.030768858049989</v>
      </c>
      <c r="AH46" s="39">
        <f t="shared" si="66"/>
        <v>51.656782449462625</v>
      </c>
      <c r="AI46" s="39">
        <f t="shared" si="66"/>
        <v>58.499848</v>
      </c>
      <c r="AJ46" s="39">
        <f t="shared" si="66"/>
        <v>60.507721609016151</v>
      </c>
      <c r="AK46" s="39">
        <f t="shared" si="66"/>
        <v>50.020066867969469</v>
      </c>
      <c r="AL46" s="39">
        <f t="shared" si="66"/>
        <v>42.856703444423736</v>
      </c>
      <c r="AM46" s="39">
        <f t="shared" si="66"/>
        <v>38.904455999999996</v>
      </c>
      <c r="AN46" s="39">
        <f t="shared" si="66"/>
        <v>29.433026608129488</v>
      </c>
      <c r="AO46" s="39">
        <f t="shared" si="63"/>
        <v>28.467484332631365</v>
      </c>
      <c r="AP46" s="39">
        <f t="shared" si="63"/>
        <v>26.177017904743494</v>
      </c>
      <c r="AQ46" s="39">
        <f t="shared" si="63"/>
        <v>28.391231999999999</v>
      </c>
      <c r="AR46" s="39">
        <f t="shared" si="63"/>
        <v>27.714561877145339</v>
      </c>
      <c r="AS46" s="39">
        <f t="shared" si="26"/>
        <v>21.906717243100903</v>
      </c>
      <c r="AT46" s="39">
        <f t="shared" si="27"/>
        <v>22.324842479284005</v>
      </c>
      <c r="AU46" s="39">
        <f t="shared" si="28"/>
        <v>19</v>
      </c>
      <c r="AV46" s="39">
        <f t="shared" si="29"/>
        <v>19.114039343101386</v>
      </c>
      <c r="AW46" s="39">
        <f t="shared" ref="AW46:AY46" si="67">BA24</f>
        <v>20.810421304257442</v>
      </c>
      <c r="AX46" s="39">
        <f t="shared" si="67"/>
        <v>19.613149087444253</v>
      </c>
      <c r="AY46" s="39">
        <f t="shared" si="67"/>
        <v>20</v>
      </c>
      <c r="AZ46" s="39">
        <f t="shared" si="31"/>
        <v>30.305461091321359</v>
      </c>
      <c r="BA46" s="39">
        <f t="shared" si="32"/>
        <v>33.128867471795822</v>
      </c>
      <c r="BB46" s="39">
        <f t="shared" si="33"/>
        <v>28.943222007530053</v>
      </c>
      <c r="BP46">
        <f t="shared" si="6"/>
        <v>2006</v>
      </c>
      <c r="BQ46" s="49">
        <v>1014.1992240000001</v>
      </c>
      <c r="BR46" s="49">
        <v>164.407712</v>
      </c>
      <c r="BS46" s="49">
        <v>8.7224880000000002</v>
      </c>
      <c r="BT46" s="49">
        <v>353.821124</v>
      </c>
      <c r="BU46" s="49">
        <v>2106.5685840000001</v>
      </c>
      <c r="BV46" s="49">
        <v>40.374451999999998</v>
      </c>
      <c r="BW46" s="49">
        <v>3259.0627920000002</v>
      </c>
      <c r="BX46" s="49">
        <v>2677.7578599999997</v>
      </c>
      <c r="BY46" s="49">
        <v>153.785552</v>
      </c>
      <c r="BZ46" s="49">
        <v>958.36588800000004</v>
      </c>
      <c r="CA46" s="49">
        <v>1285.6831</v>
      </c>
      <c r="CB46" s="49">
        <v>253.81542000000002</v>
      </c>
      <c r="CC46" s="49">
        <v>93.471671999999998</v>
      </c>
      <c r="CD46" s="49">
        <v>47.139291999999998</v>
      </c>
      <c r="CE46" s="49">
        <v>43.097796000000002</v>
      </c>
      <c r="CF46" s="49">
        <v>283.93937199999999</v>
      </c>
      <c r="CG46" s="49">
        <v>28.391231999999999</v>
      </c>
      <c r="CH46" s="49">
        <v>32.982075999999999</v>
      </c>
      <c r="CJ46">
        <f t="shared" si="3"/>
        <v>2006</v>
      </c>
      <c r="CK46" s="7">
        <f t="shared" si="4"/>
        <v>12805.585636000002</v>
      </c>
      <c r="CL46" s="44">
        <v>21529</v>
      </c>
      <c r="CM46">
        <f t="shared" si="5"/>
        <v>0.59480633731246235</v>
      </c>
    </row>
    <row r="47" spans="6:91" x14ac:dyDescent="0.2">
      <c r="F47" t="s">
        <v>119</v>
      </c>
      <c r="G47" s="5">
        <f t="shared" ref="G47:V47" si="68">$X25*G25</f>
        <v>47.729569076801901</v>
      </c>
      <c r="H47" s="5">
        <f t="shared" si="68"/>
        <v>50.258813679382584</v>
      </c>
      <c r="I47" s="5">
        <f t="shared" si="68"/>
        <v>57.277436919861096</v>
      </c>
      <c r="J47" s="5">
        <f t="shared" si="68"/>
        <v>48.931296111538408</v>
      </c>
      <c r="K47" s="5">
        <f t="shared" si="68"/>
        <v>43.214543825357822</v>
      </c>
      <c r="L47" s="5">
        <f t="shared" si="68"/>
        <v>39.129404667640735</v>
      </c>
      <c r="M47" s="5">
        <f t="shared" si="68"/>
        <v>38.759360672188258</v>
      </c>
      <c r="N47" s="5">
        <f t="shared" si="68"/>
        <v>43.487571811087662</v>
      </c>
      <c r="O47" s="5">
        <f t="shared" si="68"/>
        <v>45.474670329507163</v>
      </c>
      <c r="P47" s="5">
        <f t="shared" si="68"/>
        <v>44.174157180206429</v>
      </c>
      <c r="Q47" s="5">
        <f t="shared" si="68"/>
        <v>42.106648223701853</v>
      </c>
      <c r="R47" s="5">
        <f t="shared" si="68"/>
        <v>39.419355998762526</v>
      </c>
      <c r="S47" s="5">
        <f t="shared" si="68"/>
        <v>35.311188624615482</v>
      </c>
      <c r="T47" s="5">
        <f t="shared" si="68"/>
        <v>37.91854792698863</v>
      </c>
      <c r="U47" s="5">
        <f t="shared" si="68"/>
        <v>38.181347066222365</v>
      </c>
      <c r="V47" s="5">
        <f t="shared" si="68"/>
        <v>33.863505680901589</v>
      </c>
      <c r="W47" s="39">
        <f t="shared" si="21"/>
        <v>39.628355216449528</v>
      </c>
      <c r="X47" s="39">
        <f t="shared" si="22"/>
        <v>43.311356676392833</v>
      </c>
      <c r="Y47" s="39">
        <f t="shared" si="23"/>
        <v>45.434393503358493</v>
      </c>
      <c r="Z47" s="39">
        <f t="shared" si="66"/>
        <v>41.18066817037402</v>
      </c>
      <c r="AA47" s="39">
        <f t="shared" si="66"/>
        <v>38.691516089207084</v>
      </c>
      <c r="AB47" s="39">
        <f t="shared" si="66"/>
        <v>34.793804965135031</v>
      </c>
      <c r="AC47" s="39">
        <f t="shared" si="66"/>
        <v>38.845725201786685</v>
      </c>
      <c r="AD47" s="39">
        <f t="shared" si="66"/>
        <v>43.649220105879621</v>
      </c>
      <c r="AE47" s="39">
        <f t="shared" si="66"/>
        <v>48.376910834473634</v>
      </c>
      <c r="AF47" s="39">
        <f t="shared" si="66"/>
        <v>54.003433472495793</v>
      </c>
      <c r="AG47" s="39">
        <f t="shared" si="66"/>
        <v>44.191956365805062</v>
      </c>
      <c r="AH47" s="39">
        <f t="shared" si="66"/>
        <v>42.319065802984603</v>
      </c>
      <c r="AI47" s="39">
        <f t="shared" si="66"/>
        <v>47.700868</v>
      </c>
      <c r="AJ47" s="39">
        <f t="shared" si="66"/>
        <v>46.745155175063296</v>
      </c>
      <c r="AK47" s="39">
        <f t="shared" si="66"/>
        <v>38.101014045070116</v>
      </c>
      <c r="AL47" s="39">
        <f t="shared" si="66"/>
        <v>33.200659911387405</v>
      </c>
      <c r="AM47" s="39">
        <f t="shared" si="66"/>
        <v>35.603912000000001</v>
      </c>
      <c r="AN47" s="39">
        <f t="shared" si="66"/>
        <v>30.337702942254708</v>
      </c>
      <c r="AO47" s="39">
        <f t="shared" si="63"/>
        <v>28.689353232890731</v>
      </c>
      <c r="AP47" s="39">
        <f t="shared" si="63"/>
        <v>27.696006039892389</v>
      </c>
      <c r="AQ47" s="39">
        <f t="shared" si="63"/>
        <v>32.982075999999999</v>
      </c>
      <c r="AR47" s="39">
        <f t="shared" si="63"/>
        <v>31.838460359608138</v>
      </c>
      <c r="AS47" s="39">
        <f t="shared" si="26"/>
        <v>20.608192835341118</v>
      </c>
      <c r="AT47" s="39">
        <f t="shared" si="27"/>
        <v>22.524890856185063</v>
      </c>
      <c r="AU47" s="39">
        <f t="shared" si="28"/>
        <v>17</v>
      </c>
      <c r="AV47" s="39">
        <f t="shared" si="29"/>
        <v>20.193387797529102</v>
      </c>
      <c r="AW47" s="39">
        <f t="shared" ref="AW47:AY47" si="69">BA25</f>
        <v>22.881220733375581</v>
      </c>
      <c r="AX47" s="39">
        <f t="shared" si="69"/>
        <v>27.617340891758243</v>
      </c>
      <c r="AY47" s="39">
        <f t="shared" si="69"/>
        <v>28</v>
      </c>
      <c r="AZ47" s="39">
        <f t="shared" si="31"/>
        <v>34.370638862344556</v>
      </c>
      <c r="BA47" s="39">
        <f t="shared" si="32"/>
        <v>39.212485077900489</v>
      </c>
      <c r="BB47" s="39">
        <f t="shared" si="33"/>
        <v>38.943663904859179</v>
      </c>
      <c r="BP47">
        <f t="shared" si="6"/>
        <v>2007</v>
      </c>
      <c r="BQ47" s="49">
        <v>1017.3089008569175</v>
      </c>
      <c r="BR47" s="49">
        <v>117.72476201119797</v>
      </c>
      <c r="BS47" s="49">
        <v>5.5487247592447062</v>
      </c>
      <c r="BT47" s="49">
        <v>384.72650075395597</v>
      </c>
      <c r="BU47" s="49">
        <v>2090.1212360058084</v>
      </c>
      <c r="BV47" s="49">
        <v>40.901224952433246</v>
      </c>
      <c r="BW47" s="49">
        <v>3233.695904757873</v>
      </c>
      <c r="BX47" s="49">
        <v>2824.531653445953</v>
      </c>
      <c r="BY47" s="49">
        <v>143.10994103075981</v>
      </c>
      <c r="BZ47" s="49">
        <v>888.6890971564701</v>
      </c>
      <c r="CA47" s="49">
        <v>1398.596658536504</v>
      </c>
      <c r="CB47" s="49">
        <v>236.27608038255704</v>
      </c>
      <c r="CC47" s="49">
        <v>100.2520387130355</v>
      </c>
      <c r="CD47" s="49">
        <v>59.317149731278079</v>
      </c>
      <c r="CE47" s="49">
        <v>45.825803281131591</v>
      </c>
      <c r="CF47" s="49">
        <v>255.92503066606668</v>
      </c>
      <c r="CG47" s="49">
        <v>27.714561877145339</v>
      </c>
      <c r="CH47" s="49">
        <v>31.838460359608138</v>
      </c>
      <c r="CJ47">
        <f t="shared" si="3"/>
        <v>2007</v>
      </c>
      <c r="CK47" s="7">
        <f t="shared" si="4"/>
        <v>12902.103729277938</v>
      </c>
      <c r="CL47" s="44">
        <v>21363</v>
      </c>
      <c r="CM47">
        <f t="shared" si="5"/>
        <v>0.60394624955661369</v>
      </c>
    </row>
    <row r="48" spans="6:91" x14ac:dyDescent="0.2">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BP48">
        <f t="shared" si="6"/>
        <v>2008</v>
      </c>
      <c r="BQ48" s="49">
        <v>913.55290679421876</v>
      </c>
      <c r="BR48" s="49">
        <v>100.10391940983209</v>
      </c>
      <c r="BS48" s="49">
        <v>2.9930445873252332</v>
      </c>
      <c r="BT48" s="49">
        <v>340.75137141804316</v>
      </c>
      <c r="BU48" s="49">
        <v>1905.2774059551602</v>
      </c>
      <c r="BV48" s="49">
        <v>32.461027328280444</v>
      </c>
      <c r="BW48" s="49">
        <v>3327.9701282444062</v>
      </c>
      <c r="BX48" s="49">
        <v>2808.6503129524704</v>
      </c>
      <c r="BY48" s="49">
        <v>118.89421130373546</v>
      </c>
      <c r="BZ48" s="49">
        <v>744.58615673498946</v>
      </c>
      <c r="CA48" s="49">
        <v>1367.2205669627242</v>
      </c>
      <c r="CB48" s="49">
        <v>186.52536210085808</v>
      </c>
      <c r="CC48" s="49">
        <v>78.853051261641937</v>
      </c>
      <c r="CD48" s="49">
        <v>43.705219316728574</v>
      </c>
      <c r="CE48" s="49">
        <v>37.150422470058906</v>
      </c>
      <c r="CF48" s="49">
        <v>178.02133203826156</v>
      </c>
      <c r="CG48" s="49">
        <v>21.906717243100903</v>
      </c>
      <c r="CH48" s="49">
        <v>20.608192835341118</v>
      </c>
      <c r="CJ48">
        <f t="shared" si="3"/>
        <v>2008</v>
      </c>
      <c r="CK48" s="7">
        <f t="shared" si="4"/>
        <v>12229.231348957175</v>
      </c>
      <c r="CL48" s="44">
        <v>20528</v>
      </c>
      <c r="CM48">
        <f t="shared" si="5"/>
        <v>0.59573418496478836</v>
      </c>
    </row>
    <row r="49" spans="6:91" x14ac:dyDescent="0.2">
      <c r="BP49">
        <f t="shared" si="6"/>
        <v>2009</v>
      </c>
      <c r="BQ49" s="49">
        <v>1082.0437976266057</v>
      </c>
      <c r="BR49" s="49">
        <v>92.386077520771678</v>
      </c>
      <c r="BS49" s="49">
        <v>3.526210661636902</v>
      </c>
      <c r="BT49" s="49">
        <v>349.87643313649335</v>
      </c>
      <c r="BU49" s="49">
        <v>1774.044580052572</v>
      </c>
      <c r="BV49" s="49">
        <v>42.881660809701962</v>
      </c>
      <c r="BW49" s="49">
        <v>3130.9523370717566</v>
      </c>
      <c r="BX49" s="49">
        <v>2507.0190933838858</v>
      </c>
      <c r="BY49" s="49">
        <v>111.58171088640285</v>
      </c>
      <c r="BZ49" s="49">
        <v>646.20773136287312</v>
      </c>
      <c r="CA49" s="49">
        <v>960.90080405798346</v>
      </c>
      <c r="CB49" s="49">
        <v>192.36823377378479</v>
      </c>
      <c r="CC49" s="49">
        <v>87.825004558862744</v>
      </c>
      <c r="CD49" s="49">
        <v>43.349239751799061</v>
      </c>
      <c r="CE49" s="49">
        <v>36.104547894183433</v>
      </c>
      <c r="CF49" s="49">
        <v>172.38272816028737</v>
      </c>
      <c r="CG49" s="49">
        <v>22.324842479284005</v>
      </c>
      <c r="CH49" s="49">
        <v>22.524890856185063</v>
      </c>
      <c r="CJ49">
        <f t="shared" si="3"/>
        <v>2009</v>
      </c>
      <c r="CK49" s="7">
        <f t="shared" si="4"/>
        <v>11278.299924045068</v>
      </c>
      <c r="CL49" s="44">
        <v>18756</v>
      </c>
      <c r="CM49">
        <f t="shared" si="5"/>
        <v>0.60131690787188463</v>
      </c>
    </row>
    <row r="50" spans="6:91" x14ac:dyDescent="0.2">
      <c r="AC50" s="4"/>
      <c r="BP50">
        <f t="shared" si="6"/>
        <v>2010</v>
      </c>
      <c r="BQ50" s="49">
        <v>958</v>
      </c>
      <c r="BR50" s="49">
        <v>62</v>
      </c>
      <c r="BS50" s="49">
        <v>3</v>
      </c>
      <c r="BT50" s="49">
        <v>418</v>
      </c>
      <c r="BU50" s="49">
        <v>1904</v>
      </c>
      <c r="BV50" s="49">
        <v>36</v>
      </c>
      <c r="BW50" s="49">
        <v>3159</v>
      </c>
      <c r="BX50" s="49">
        <v>2772</v>
      </c>
      <c r="BY50" s="49">
        <v>116</v>
      </c>
      <c r="BZ50" s="49">
        <v>600</v>
      </c>
      <c r="CA50" s="49">
        <v>1255</v>
      </c>
      <c r="CB50" s="49">
        <v>174</v>
      </c>
      <c r="CC50" s="49">
        <v>78</v>
      </c>
      <c r="CD50" s="49">
        <v>43</v>
      </c>
      <c r="CE50" s="49">
        <v>38</v>
      </c>
      <c r="CF50" s="49">
        <v>143</v>
      </c>
      <c r="CG50" s="49">
        <v>19</v>
      </c>
      <c r="CH50" s="49">
        <v>17</v>
      </c>
      <c r="CJ50">
        <f t="shared" si="3"/>
        <v>2010</v>
      </c>
      <c r="CK50" s="7">
        <f t="shared" si="4"/>
        <v>11795</v>
      </c>
      <c r="CL50" s="44">
        <v>20277</v>
      </c>
      <c r="CM50">
        <f t="shared" si="5"/>
        <v>0.5816935444099226</v>
      </c>
    </row>
    <row r="51" spans="6:91" x14ac:dyDescent="0.2">
      <c r="BP51">
        <v>2011</v>
      </c>
      <c r="BQ51" s="49">
        <v>962.5869918448409</v>
      </c>
      <c r="BR51" s="49">
        <v>63.735355866562557</v>
      </c>
      <c r="BS51" s="49">
        <v>3.4834106866991101</v>
      </c>
      <c r="BT51" s="49">
        <v>344.71258871576003</v>
      </c>
      <c r="BU51" s="49">
        <v>1722.0786392639382</v>
      </c>
      <c r="BV51" s="49">
        <v>39.681746342190024</v>
      </c>
      <c r="BW51" s="49">
        <v>3119.7773525461766</v>
      </c>
      <c r="BX51" s="49">
        <v>2865.8842342198377</v>
      </c>
      <c r="BY51" s="49">
        <v>114.33836166733738</v>
      </c>
      <c r="BZ51" s="49">
        <v>611.9249777848737</v>
      </c>
      <c r="CA51" s="49">
        <v>1260.1959118059083</v>
      </c>
      <c r="CB51" s="49">
        <v>188.724641806542</v>
      </c>
      <c r="CC51" s="49">
        <v>87.855529195606763</v>
      </c>
      <c r="CD51" s="49">
        <v>49.219159610574309</v>
      </c>
      <c r="CE51" s="49">
        <v>37.494398211204988</v>
      </c>
      <c r="CF51" s="49">
        <v>150.92000632672566</v>
      </c>
      <c r="CG51" s="49">
        <v>19.114039343101386</v>
      </c>
      <c r="CH51" s="49">
        <v>20.193387797529102</v>
      </c>
      <c r="CJ51">
        <f t="shared" ref="CJ51:CJ54" si="70">BP51</f>
        <v>2011</v>
      </c>
      <c r="CK51" s="7">
        <f t="shared" ref="CK51:CK55" si="71">SUM(BQ51:CH51)</f>
        <v>11661.920733035413</v>
      </c>
      <c r="CL51" s="44">
        <v>20455</v>
      </c>
      <c r="CM51">
        <f t="shared" si="5"/>
        <v>0.5701256774888982</v>
      </c>
    </row>
    <row r="52" spans="6:91" x14ac:dyDescent="0.2">
      <c r="BP52">
        <v>2012</v>
      </c>
      <c r="BQ52" s="118">
        <v>905.23015078882304</v>
      </c>
      <c r="BR52" s="118">
        <v>65.232230776731996</v>
      </c>
      <c r="BS52" s="118">
        <v>2.8834010636912977</v>
      </c>
      <c r="BT52" s="118">
        <v>268.15711778672494</v>
      </c>
      <c r="BU52" s="118">
        <v>1678.8466954510259</v>
      </c>
      <c r="BV52" s="118">
        <v>40.886951644453283</v>
      </c>
      <c r="BW52" s="118">
        <v>2948.0452954146526</v>
      </c>
      <c r="BX52" s="118">
        <v>2721.4162617878787</v>
      </c>
      <c r="BY52" s="118">
        <v>109.54490865472242</v>
      </c>
      <c r="BZ52" s="118">
        <v>624.0796384681654</v>
      </c>
      <c r="CA52" s="118">
        <v>1098.7242374193011</v>
      </c>
      <c r="CB52" s="118">
        <v>193.8473245114659</v>
      </c>
      <c r="CC52" s="118">
        <v>83.277537047934089</v>
      </c>
      <c r="CD52" s="118">
        <v>52.591791695115887</v>
      </c>
      <c r="CE52" s="118">
        <v>33.121930438388155</v>
      </c>
      <c r="CF52" s="118">
        <v>147.50185586468626</v>
      </c>
      <c r="CG52" s="118">
        <v>20.810421304257442</v>
      </c>
      <c r="CH52" s="118">
        <v>22.881220733375581</v>
      </c>
      <c r="CJ52">
        <f t="shared" si="70"/>
        <v>2012</v>
      </c>
      <c r="CK52" s="7">
        <f t="shared" si="71"/>
        <v>11017.078970851395</v>
      </c>
      <c r="CL52" s="44">
        <v>20740</v>
      </c>
      <c r="CM52">
        <f t="shared" si="5"/>
        <v>0.53119956465050122</v>
      </c>
    </row>
    <row r="53" spans="6:91" x14ac:dyDescent="0.2">
      <c r="G53">
        <v>1970</v>
      </c>
      <c r="H53">
        <v>1971</v>
      </c>
      <c r="I53">
        <v>1972</v>
      </c>
      <c r="J53">
        <v>1973</v>
      </c>
      <c r="K53">
        <v>1974</v>
      </c>
      <c r="L53">
        <v>1975</v>
      </c>
      <c r="M53">
        <v>1976</v>
      </c>
      <c r="N53">
        <f>N29</f>
        <v>1977</v>
      </c>
      <c r="O53">
        <f t="shared" ref="O53:AS53" si="72">O29</f>
        <v>1978</v>
      </c>
      <c r="P53">
        <f t="shared" si="72"/>
        <v>1979</v>
      </c>
      <c r="Q53">
        <f t="shared" si="72"/>
        <v>1980</v>
      </c>
      <c r="R53">
        <f t="shared" si="72"/>
        <v>1981</v>
      </c>
      <c r="S53">
        <f t="shared" si="72"/>
        <v>1982</v>
      </c>
      <c r="T53">
        <f t="shared" si="72"/>
        <v>1983</v>
      </c>
      <c r="U53">
        <f t="shared" si="72"/>
        <v>1984</v>
      </c>
      <c r="V53">
        <f t="shared" si="72"/>
        <v>1985</v>
      </c>
      <c r="W53">
        <f t="shared" si="72"/>
        <v>1986</v>
      </c>
      <c r="X53">
        <f t="shared" si="72"/>
        <v>1987</v>
      </c>
      <c r="Y53">
        <f t="shared" si="72"/>
        <v>1988</v>
      </c>
      <c r="Z53">
        <f t="shared" si="72"/>
        <v>1989</v>
      </c>
      <c r="AA53">
        <f t="shared" si="72"/>
        <v>1990</v>
      </c>
      <c r="AB53">
        <f t="shared" si="72"/>
        <v>1991</v>
      </c>
      <c r="AC53">
        <f t="shared" si="72"/>
        <v>1992</v>
      </c>
      <c r="AD53">
        <f t="shared" si="72"/>
        <v>1993</v>
      </c>
      <c r="AE53">
        <f t="shared" si="72"/>
        <v>1994</v>
      </c>
      <c r="AF53">
        <f t="shared" si="72"/>
        <v>1995</v>
      </c>
      <c r="AG53">
        <f t="shared" si="72"/>
        <v>1996</v>
      </c>
      <c r="AH53">
        <f t="shared" si="72"/>
        <v>1997</v>
      </c>
      <c r="AI53">
        <f t="shared" si="72"/>
        <v>1998</v>
      </c>
      <c r="AJ53">
        <f t="shared" si="72"/>
        <v>1999</v>
      </c>
      <c r="AK53">
        <f t="shared" si="72"/>
        <v>2000</v>
      </c>
      <c r="AL53">
        <f t="shared" si="72"/>
        <v>2001</v>
      </c>
      <c r="AM53">
        <f t="shared" si="72"/>
        <v>2002</v>
      </c>
      <c r="AN53">
        <f t="shared" si="72"/>
        <v>2003</v>
      </c>
      <c r="AO53">
        <f t="shared" si="72"/>
        <v>2004</v>
      </c>
      <c r="AP53">
        <f t="shared" si="72"/>
        <v>2005</v>
      </c>
      <c r="AQ53">
        <f t="shared" si="72"/>
        <v>2006</v>
      </c>
      <c r="AR53">
        <f t="shared" si="72"/>
        <v>2007</v>
      </c>
      <c r="AS53">
        <f t="shared" si="72"/>
        <v>2008</v>
      </c>
      <c r="AT53">
        <f>AT29</f>
        <v>2009</v>
      </c>
      <c r="AU53">
        <f>AU29</f>
        <v>2010</v>
      </c>
      <c r="AV53">
        <f t="shared" ref="AV53:BB53" si="73">AV29</f>
        <v>2011</v>
      </c>
      <c r="AW53">
        <f t="shared" si="73"/>
        <v>2012</v>
      </c>
      <c r="AX53">
        <f t="shared" si="73"/>
        <v>2013</v>
      </c>
      <c r="AY53">
        <f t="shared" si="73"/>
        <v>2014</v>
      </c>
      <c r="AZ53">
        <f t="shared" si="73"/>
        <v>2015</v>
      </c>
      <c r="BA53">
        <f t="shared" si="73"/>
        <v>2016</v>
      </c>
      <c r="BB53">
        <f t="shared" si="73"/>
        <v>2017</v>
      </c>
      <c r="BP53">
        <v>2013</v>
      </c>
      <c r="BQ53" s="118">
        <v>938.49143969789179</v>
      </c>
      <c r="BR53" s="118">
        <v>70.717952789685583</v>
      </c>
      <c r="BS53" s="118">
        <v>2.9774098793298824</v>
      </c>
      <c r="BT53" s="118">
        <v>299.38234805307519</v>
      </c>
      <c r="BU53" s="118">
        <v>1810.8084829965851</v>
      </c>
      <c r="BV53" s="118">
        <v>41.131101202521521</v>
      </c>
      <c r="BW53" s="118">
        <v>3141.97711054922</v>
      </c>
      <c r="BX53" s="118">
        <v>3072.8614151678034</v>
      </c>
      <c r="BY53" s="118">
        <v>111.07562545949031</v>
      </c>
      <c r="BZ53" s="118">
        <v>679.69946888069933</v>
      </c>
      <c r="CA53" s="118">
        <v>1200.1910170523031</v>
      </c>
      <c r="CB53" s="118">
        <v>197.31845463184905</v>
      </c>
      <c r="CC53" s="118">
        <v>85.159713195512765</v>
      </c>
      <c r="CD53" s="118">
        <v>49.834979659611527</v>
      </c>
      <c r="CE53" s="118">
        <v>28.316056303566675</v>
      </c>
      <c r="CF53" s="118">
        <v>152.54903819923609</v>
      </c>
      <c r="CG53" s="118">
        <v>19.613149087444253</v>
      </c>
      <c r="CH53" s="118">
        <v>27.617340891758243</v>
      </c>
      <c r="CJ53">
        <f t="shared" si="70"/>
        <v>2013</v>
      </c>
      <c r="CK53" s="7">
        <f t="shared" si="71"/>
        <v>11929.722103697588</v>
      </c>
      <c r="CL53" s="104">
        <v>21261</v>
      </c>
      <c r="CM53">
        <f t="shared" si="5"/>
        <v>0.56110823120726161</v>
      </c>
    </row>
    <row r="54" spans="6:91" x14ac:dyDescent="0.2">
      <c r="F54" t="str">
        <f t="shared" ref="F54:AU57" si="74">F34</f>
        <v>322</v>
      </c>
      <c r="G54" s="5">
        <f t="shared" si="74"/>
        <v>1676.8293296070926</v>
      </c>
      <c r="H54" s="5">
        <f t="shared" si="74"/>
        <v>1774.5898107351686</v>
      </c>
      <c r="I54" s="5">
        <f t="shared" si="74"/>
        <v>1856.5684738705736</v>
      </c>
      <c r="J54" s="5">
        <f t="shared" si="74"/>
        <v>1823.4914754065853</v>
      </c>
      <c r="K54" s="5">
        <f t="shared" si="74"/>
        <v>1841.4594640159989</v>
      </c>
      <c r="L54" s="5">
        <f t="shared" si="74"/>
        <v>1695.0070009695717</v>
      </c>
      <c r="M54" s="5">
        <f t="shared" si="74"/>
        <v>1854.0595741469392</v>
      </c>
      <c r="N54" s="5">
        <f t="shared" si="74"/>
        <v>1903.5055023121824</v>
      </c>
      <c r="O54" s="5">
        <f t="shared" si="74"/>
        <v>1957.3812065519662</v>
      </c>
      <c r="P54" s="5">
        <f t="shared" si="74"/>
        <v>1953.5841253931962</v>
      </c>
      <c r="Q54" s="5">
        <f t="shared" si="74"/>
        <v>1902.3768621022043</v>
      </c>
      <c r="R54" s="5">
        <f t="shared" si="74"/>
        <v>1945.5459826376425</v>
      </c>
      <c r="S54" s="5">
        <f t="shared" si="74"/>
        <v>1845.776193736714</v>
      </c>
      <c r="T54" s="5">
        <f t="shared" si="74"/>
        <v>2015.7924399069686</v>
      </c>
      <c r="U54" s="5">
        <f t="shared" si="74"/>
        <v>2078.3417168105088</v>
      </c>
      <c r="V54" s="5">
        <f t="shared" si="74"/>
        <v>2017.3632372266716</v>
      </c>
      <c r="W54" s="5">
        <f t="shared" si="74"/>
        <v>1985.8799822003309</v>
      </c>
      <c r="X54" s="5">
        <f t="shared" si="74"/>
        <v>2039.394142819116</v>
      </c>
      <c r="Y54" s="5">
        <f t="shared" si="74"/>
        <v>2153.9562641132611</v>
      </c>
      <c r="Z54" s="5">
        <f t="shared" si="74"/>
        <v>2186.1253063093668</v>
      </c>
      <c r="AA54" s="5">
        <f t="shared" si="74"/>
        <v>2232.4561523667417</v>
      </c>
      <c r="AB54" s="5">
        <f t="shared" si="74"/>
        <v>2267.2367478194155</v>
      </c>
      <c r="AC54" s="5">
        <f t="shared" si="74"/>
        <v>2376.8968151839495</v>
      </c>
      <c r="AD54" s="5">
        <f t="shared" si="74"/>
        <v>2413.860058955303</v>
      </c>
      <c r="AE54" s="5">
        <f t="shared" si="74"/>
        <v>2406.5414497255788</v>
      </c>
      <c r="AF54" s="5">
        <f t="shared" si="74"/>
        <v>2475.1031059942475</v>
      </c>
      <c r="AG54" s="5">
        <f t="shared" si="74"/>
        <v>2445.7058531055864</v>
      </c>
      <c r="AH54" s="5">
        <f t="shared" si="74"/>
        <v>2444.4671078929837</v>
      </c>
      <c r="AI54" s="5">
        <f t="shared" si="74"/>
        <v>2503.918032</v>
      </c>
      <c r="AJ54" s="5">
        <f t="shared" si="74"/>
        <v>2465.1884562264563</v>
      </c>
      <c r="AK54" s="5">
        <f t="shared" si="74"/>
        <v>2357.2657029108259</v>
      </c>
      <c r="AL54" s="5">
        <f t="shared" si="74"/>
        <v>2298.5199852617166</v>
      </c>
      <c r="AM54" s="5">
        <f t="shared" si="74"/>
        <v>2137.503764</v>
      </c>
      <c r="AN54" s="5">
        <f t="shared" si="74"/>
        <v>2062.2055493557114</v>
      </c>
      <c r="AO54" s="5">
        <f t="shared" si="74"/>
        <v>2028.3709641295484</v>
      </c>
      <c r="AP54" s="5">
        <f t="shared" si="74"/>
        <v>2041.520676975912</v>
      </c>
      <c r="AQ54" s="5">
        <f t="shared" si="74"/>
        <v>2106.5685840000001</v>
      </c>
      <c r="AR54" s="5">
        <f t="shared" si="74"/>
        <v>2090.1212360058084</v>
      </c>
      <c r="AS54" s="5">
        <f t="shared" si="74"/>
        <v>1905.2774059551602</v>
      </c>
      <c r="AT54" s="5">
        <f t="shared" si="74"/>
        <v>1774.044580052572</v>
      </c>
      <c r="AU54" s="5">
        <f t="shared" si="74"/>
        <v>1904</v>
      </c>
      <c r="AV54" s="5">
        <f t="shared" ref="AV54:BB54" si="75">AV34</f>
        <v>1722.0786392639382</v>
      </c>
      <c r="AW54" s="5">
        <f t="shared" si="75"/>
        <v>1678.8466954510259</v>
      </c>
      <c r="AX54" s="5">
        <f t="shared" si="75"/>
        <v>1810.8084829965851</v>
      </c>
      <c r="AY54" s="5">
        <f t="shared" si="75"/>
        <v>1899</v>
      </c>
      <c r="AZ54" s="5">
        <f t="shared" si="75"/>
        <v>1916.5339866445674</v>
      </c>
      <c r="BA54" s="5">
        <f t="shared" si="75"/>
        <v>1920.6028756718433</v>
      </c>
      <c r="BB54" s="5">
        <f t="shared" si="75"/>
        <v>1793.6389598515498</v>
      </c>
      <c r="BP54">
        <v>2014</v>
      </c>
      <c r="BQ54" s="118">
        <v>929</v>
      </c>
      <c r="BR54" s="118">
        <v>72</v>
      </c>
      <c r="BS54" s="118">
        <v>3</v>
      </c>
      <c r="BT54" s="118">
        <v>311</v>
      </c>
      <c r="BU54" s="118">
        <v>1899</v>
      </c>
      <c r="BV54" s="118">
        <v>40</v>
      </c>
      <c r="BW54" s="118">
        <v>3346</v>
      </c>
      <c r="BX54" s="118">
        <v>3069</v>
      </c>
      <c r="BY54" s="118">
        <v>104</v>
      </c>
      <c r="BZ54" s="118">
        <v>699</v>
      </c>
      <c r="CA54" s="118">
        <v>1251</v>
      </c>
      <c r="CB54" s="118">
        <v>201</v>
      </c>
      <c r="CC54" s="118">
        <v>84</v>
      </c>
      <c r="CD54" s="118">
        <v>50</v>
      </c>
      <c r="CE54" s="118">
        <v>31</v>
      </c>
      <c r="CF54" s="118">
        <v>164</v>
      </c>
      <c r="CG54" s="118">
        <v>20</v>
      </c>
      <c r="CH54" s="118">
        <v>28</v>
      </c>
      <c r="CJ54">
        <f t="shared" si="70"/>
        <v>2014</v>
      </c>
      <c r="CK54" s="7">
        <f t="shared" si="71"/>
        <v>12301</v>
      </c>
      <c r="CL54" s="104">
        <v>21365</v>
      </c>
      <c r="CM54">
        <f t="shared" si="5"/>
        <v>0.57575473905920904</v>
      </c>
    </row>
    <row r="55" spans="6:91" x14ac:dyDescent="0.2">
      <c r="F55" t="str">
        <f t="shared" si="74"/>
        <v>323</v>
      </c>
      <c r="G55" s="5">
        <f t="shared" si="74"/>
        <v>30.291028498334043</v>
      </c>
      <c r="H55" s="5">
        <f t="shared" si="74"/>
        <v>28.981245210725596</v>
      </c>
      <c r="I55" s="5">
        <f t="shared" si="74"/>
        <v>28.59798183782285</v>
      </c>
      <c r="J55" s="5">
        <f t="shared" si="74"/>
        <v>26.669931974980639</v>
      </c>
      <c r="K55" s="5">
        <f t="shared" si="74"/>
        <v>22.098920409671415</v>
      </c>
      <c r="L55" s="5">
        <f t="shared" si="74"/>
        <v>23.832405657932156</v>
      </c>
      <c r="M55" s="5">
        <f t="shared" si="74"/>
        <v>19.308652681177552</v>
      </c>
      <c r="N55" s="5">
        <f t="shared" si="74"/>
        <v>23.373896798763397</v>
      </c>
      <c r="O55" s="5">
        <f t="shared" si="74"/>
        <v>23.509136802180493</v>
      </c>
      <c r="P55" s="5">
        <f t="shared" si="74"/>
        <v>25.776040799978485</v>
      </c>
      <c r="Q55" s="5">
        <f t="shared" si="74"/>
        <v>25.106376545139955</v>
      </c>
      <c r="R55" s="5">
        <f t="shared" si="74"/>
        <v>25.110901303618594</v>
      </c>
      <c r="S55" s="5">
        <f t="shared" si="74"/>
        <v>26.386883194594706</v>
      </c>
      <c r="T55" s="5">
        <f t="shared" si="74"/>
        <v>27.737445560605206</v>
      </c>
      <c r="U55" s="5">
        <f t="shared" si="74"/>
        <v>31.98743113422907</v>
      </c>
      <c r="V55" s="5">
        <f t="shared" si="74"/>
        <v>26.699079874753142</v>
      </c>
      <c r="W55" s="5">
        <f t="shared" si="74"/>
        <v>31.398684042991388</v>
      </c>
      <c r="X55" s="5">
        <f t="shared" si="74"/>
        <v>35.457031000499867</v>
      </c>
      <c r="Y55" s="5">
        <f t="shared" si="74"/>
        <v>40.089746346787351</v>
      </c>
      <c r="Z55" s="5">
        <f t="shared" si="74"/>
        <v>41.243633713675202</v>
      </c>
      <c r="AA55" s="5">
        <f t="shared" si="74"/>
        <v>40.250360783695889</v>
      </c>
      <c r="AB55" s="5">
        <f t="shared" si="74"/>
        <v>38.576483481067747</v>
      </c>
      <c r="AC55" s="5">
        <f t="shared" si="74"/>
        <v>38.178392597320688</v>
      </c>
      <c r="AD55" s="5">
        <f t="shared" si="74"/>
        <v>35.271440939704874</v>
      </c>
      <c r="AE55" s="5">
        <f t="shared" si="74"/>
        <v>37.113573244007682</v>
      </c>
      <c r="AF55" s="5">
        <f t="shared" si="74"/>
        <v>43.188518122581051</v>
      </c>
      <c r="AG55" s="5">
        <f t="shared" si="74"/>
        <v>40.33110661016218</v>
      </c>
      <c r="AH55" s="5">
        <f t="shared" si="74"/>
        <v>40.608372244311404</v>
      </c>
      <c r="AI55" s="5">
        <f t="shared" si="74"/>
        <v>47.004247999999997</v>
      </c>
      <c r="AJ55" s="5">
        <f t="shared" si="74"/>
        <v>52.164830887173935</v>
      </c>
      <c r="AK55" s="5">
        <f t="shared" si="74"/>
        <v>43.975163094048298</v>
      </c>
      <c r="AL55" s="5">
        <f t="shared" si="74"/>
        <v>43.927533603441304</v>
      </c>
      <c r="AM55" s="5">
        <f t="shared" si="74"/>
        <v>47.795832000000004</v>
      </c>
      <c r="AN55" s="5">
        <f t="shared" si="74"/>
        <v>39.692067517161526</v>
      </c>
      <c r="AO55" s="5">
        <f t="shared" si="74"/>
        <v>39.966826921984563</v>
      </c>
      <c r="AP55" s="5">
        <f t="shared" si="74"/>
        <v>36.753303021623331</v>
      </c>
      <c r="AQ55" s="5">
        <f t="shared" si="74"/>
        <v>40.374451999999998</v>
      </c>
      <c r="AR55" s="5">
        <f t="shared" si="74"/>
        <v>40.901224952433246</v>
      </c>
      <c r="AS55" s="5">
        <f t="shared" si="74"/>
        <v>32.461027328280444</v>
      </c>
      <c r="AT55" s="5">
        <f t="shared" si="74"/>
        <v>42.881660809701962</v>
      </c>
      <c r="AU55" s="5">
        <f t="shared" si="74"/>
        <v>36</v>
      </c>
      <c r="AV55" s="5">
        <f t="shared" ref="AV55:BB55" si="76">AV35</f>
        <v>39.681746342190024</v>
      </c>
      <c r="AW55" s="5">
        <f t="shared" si="76"/>
        <v>40.886951644453283</v>
      </c>
      <c r="AX55" s="5">
        <f t="shared" si="76"/>
        <v>41.131101202521521</v>
      </c>
      <c r="AY55" s="5">
        <f t="shared" si="76"/>
        <v>40</v>
      </c>
      <c r="AZ55" s="5">
        <f t="shared" si="76"/>
        <v>41.772916701739263</v>
      </c>
      <c r="BA55" s="5">
        <f t="shared" si="76"/>
        <v>48.826228708148577</v>
      </c>
      <c r="BB55" s="5">
        <f t="shared" si="76"/>
        <v>59.497184411456416</v>
      </c>
      <c r="BP55">
        <v>2015</v>
      </c>
      <c r="BQ55" s="118">
        <v>1030.630146776351</v>
      </c>
      <c r="BR55" s="118">
        <v>74.509049446669465</v>
      </c>
      <c r="BS55" s="118">
        <v>4.4320835988412783</v>
      </c>
      <c r="BT55" s="118">
        <v>386.26514793818404</v>
      </c>
      <c r="BU55" s="118">
        <v>1916.5339866445674</v>
      </c>
      <c r="BV55" s="118">
        <v>41.772916701739263</v>
      </c>
      <c r="BW55" s="118">
        <v>2662.5075454970774</v>
      </c>
      <c r="BX55" s="118">
        <v>3261.3093142911703</v>
      </c>
      <c r="BY55" s="118">
        <v>118.14538873303597</v>
      </c>
      <c r="BZ55" s="118">
        <v>721.54524566856969</v>
      </c>
      <c r="CA55" s="118">
        <v>1037.5190144924757</v>
      </c>
      <c r="CB55" s="118">
        <v>243.17904468805639</v>
      </c>
      <c r="CC55" s="118">
        <v>91.210008731150793</v>
      </c>
      <c r="CD55" s="118">
        <v>67.394282393857807</v>
      </c>
      <c r="CE55" s="118">
        <v>36.617221564145147</v>
      </c>
      <c r="CF55" s="118">
        <v>195.87148502702223</v>
      </c>
      <c r="CG55" s="118">
        <v>30.305461091321359</v>
      </c>
      <c r="CH55" s="118">
        <v>34.370638862344556</v>
      </c>
      <c r="CJ55">
        <v>2015</v>
      </c>
      <c r="CK55" s="7">
        <f t="shared" si="71"/>
        <v>11954.117982146578</v>
      </c>
      <c r="CL55" s="104">
        <v>21293</v>
      </c>
    </row>
    <row r="56" spans="6:91" x14ac:dyDescent="0.2">
      <c r="F56" t="str">
        <f t="shared" si="74"/>
        <v>324</v>
      </c>
      <c r="G56" s="5">
        <f t="shared" si="74"/>
        <v>2792.6281494244427</v>
      </c>
      <c r="H56" s="5">
        <f t="shared" si="74"/>
        <v>2793.4219083077564</v>
      </c>
      <c r="I56" s="5">
        <f t="shared" si="74"/>
        <v>2939.1111055370584</v>
      </c>
      <c r="J56" s="5">
        <f t="shared" si="74"/>
        <v>3102.474949837007</v>
      </c>
      <c r="K56" s="5">
        <f t="shared" si="74"/>
        <v>3059.3692855128302</v>
      </c>
      <c r="L56" s="5">
        <f t="shared" si="74"/>
        <v>2912.1731121392399</v>
      </c>
      <c r="M56" s="5">
        <f t="shared" si="74"/>
        <v>3008.8241187041867</v>
      </c>
      <c r="N56" s="5">
        <f t="shared" si="74"/>
        <v>3111.3747991054629</v>
      </c>
      <c r="O56" s="5">
        <f t="shared" si="74"/>
        <v>3101.6695336136172</v>
      </c>
      <c r="P56" s="5">
        <f t="shared" si="74"/>
        <v>3053.153803736277</v>
      </c>
      <c r="Q56" s="5">
        <f t="shared" si="74"/>
        <v>2931.8295070227023</v>
      </c>
      <c r="R56" s="5">
        <f t="shared" si="74"/>
        <v>2462.6978715783816</v>
      </c>
      <c r="S56" s="5">
        <f t="shared" si="74"/>
        <v>2440.9314981412763</v>
      </c>
      <c r="T56" s="5">
        <f t="shared" si="74"/>
        <v>2468.9059350476141</v>
      </c>
      <c r="U56" s="5">
        <f t="shared" si="74"/>
        <v>2493.1362462733782</v>
      </c>
      <c r="V56" s="5">
        <f t="shared" si="74"/>
        <v>2519.6333802647096</v>
      </c>
      <c r="W56" s="5">
        <f t="shared" si="74"/>
        <v>2850.2471338482869</v>
      </c>
      <c r="X56" s="5">
        <f t="shared" si="74"/>
        <v>2753.6476622858058</v>
      </c>
      <c r="Y56" s="5">
        <f t="shared" si="74"/>
        <v>3018.3157833208888</v>
      </c>
      <c r="Z56" s="5">
        <f t="shared" si="74"/>
        <v>2965.3762841158969</v>
      </c>
      <c r="AA56" s="5">
        <f t="shared" si="74"/>
        <v>2981.7236021574176</v>
      </c>
      <c r="AB56" s="5">
        <f t="shared" si="74"/>
        <v>2884.3712617836486</v>
      </c>
      <c r="AC56" s="5">
        <f t="shared" si="74"/>
        <v>2978.6197025599158</v>
      </c>
      <c r="AD56" s="5">
        <f t="shared" si="74"/>
        <v>2970.8276442091383</v>
      </c>
      <c r="AE56" s="5">
        <f t="shared" si="74"/>
        <v>3144.6947232151383</v>
      </c>
      <c r="AF56" s="5">
        <f t="shared" si="74"/>
        <v>3318.3953852069985</v>
      </c>
      <c r="AG56" s="5">
        <f t="shared" si="74"/>
        <v>3430.9762747528257</v>
      </c>
      <c r="AH56" s="5">
        <f t="shared" si="74"/>
        <v>3465.1910244853348</v>
      </c>
      <c r="AI56" s="5">
        <f t="shared" si="74"/>
        <v>3495.5546920000002</v>
      </c>
      <c r="AJ56" s="5">
        <f t="shared" si="74"/>
        <v>3559.9686790500004</v>
      </c>
      <c r="AK56" s="5">
        <f t="shared" si="74"/>
        <v>3613.8718330000002</v>
      </c>
      <c r="AL56" s="5">
        <f t="shared" si="74"/>
        <v>3494.7027549010036</v>
      </c>
      <c r="AM56" s="5">
        <f t="shared" si="74"/>
        <v>3075.1213680000001</v>
      </c>
      <c r="AN56" s="5">
        <f t="shared" si="74"/>
        <v>2986.514133005855</v>
      </c>
      <c r="AO56" s="5">
        <f t="shared" si="74"/>
        <v>3077.7580838021422</v>
      </c>
      <c r="AP56" s="5">
        <f t="shared" si="74"/>
        <v>3370.7901598183917</v>
      </c>
      <c r="AQ56" s="5">
        <f t="shared" si="74"/>
        <v>3259.0627920000002</v>
      </c>
      <c r="AR56" s="5">
        <f t="shared" si="74"/>
        <v>3233.695904757873</v>
      </c>
      <c r="AS56" s="5">
        <f t="shared" si="74"/>
        <v>3327.9701282444062</v>
      </c>
      <c r="AT56" s="5">
        <f t="shared" si="74"/>
        <v>3130.9523370717566</v>
      </c>
      <c r="AU56" s="5">
        <f t="shared" si="74"/>
        <v>3159</v>
      </c>
      <c r="AV56" s="5">
        <f t="shared" ref="AV56:BB56" si="77">AV36</f>
        <v>3119.7773525461766</v>
      </c>
      <c r="AW56" s="5">
        <f t="shared" si="77"/>
        <v>2948.0452954146526</v>
      </c>
      <c r="AX56" s="5">
        <f t="shared" si="77"/>
        <v>3141.97711054922</v>
      </c>
      <c r="AY56" s="5">
        <f t="shared" si="77"/>
        <v>3346</v>
      </c>
      <c r="AZ56" s="5">
        <f t="shared" si="77"/>
        <v>2662.5075454970774</v>
      </c>
      <c r="BA56" s="5">
        <f t="shared" si="77"/>
        <v>2393.0286293869767</v>
      </c>
      <c r="BB56" s="5">
        <f t="shared" si="77"/>
        <v>2653.5491863240372</v>
      </c>
      <c r="BP56">
        <v>2016</v>
      </c>
      <c r="BQ56" s="118">
        <v>1061.6998274548725</v>
      </c>
      <c r="BR56" s="118">
        <v>78.338211968875697</v>
      </c>
      <c r="BS56" s="118">
        <v>4.9647133073011736</v>
      </c>
      <c r="BT56" s="118">
        <v>429.30426619607431</v>
      </c>
      <c r="BU56" s="118">
        <v>1920.6028756718433</v>
      </c>
      <c r="BV56" s="118">
        <v>48.826228708148577</v>
      </c>
      <c r="BW56" s="118">
        <v>2393.0286293869767</v>
      </c>
      <c r="BX56" s="118">
        <v>3611.5291991229756</v>
      </c>
      <c r="BY56" s="118">
        <v>134.51930028316804</v>
      </c>
      <c r="BZ56" s="118">
        <v>777.91367304417702</v>
      </c>
      <c r="CA56" s="118">
        <v>971.67780208199395</v>
      </c>
      <c r="CB56" s="118">
        <v>263.59014611965085</v>
      </c>
      <c r="CC56" s="118">
        <v>95.547646245422513</v>
      </c>
      <c r="CD56" s="118">
        <v>78.148456594430797</v>
      </c>
      <c r="CE56" s="118">
        <v>40.504609252761661</v>
      </c>
      <c r="CF56" s="118">
        <v>208.49515535683466</v>
      </c>
      <c r="CG56" s="118">
        <v>33.128867471795822</v>
      </c>
      <c r="CH56" s="118">
        <v>39.212485077900489</v>
      </c>
    </row>
    <row r="57" spans="6:91" x14ac:dyDescent="0.2">
      <c r="F57" t="str">
        <f t="shared" si="74"/>
        <v>325</v>
      </c>
      <c r="G57" s="5">
        <f t="shared" si="74"/>
        <v>2486.2734710772238</v>
      </c>
      <c r="H57" s="5">
        <f t="shared" si="74"/>
        <v>2562.1387413783464</v>
      </c>
      <c r="I57" s="5">
        <f t="shared" si="74"/>
        <v>2578.0337383797546</v>
      </c>
      <c r="J57" s="5">
        <f t="shared" si="74"/>
        <v>2619.3404671718845</v>
      </c>
      <c r="K57" s="5">
        <f t="shared" si="74"/>
        <v>2984.1066150056604</v>
      </c>
      <c r="L57" s="5">
        <f t="shared" si="74"/>
        <v>2647.2003018212563</v>
      </c>
      <c r="M57" s="5">
        <f t="shared" si="74"/>
        <v>2805.1630195756998</v>
      </c>
      <c r="N57" s="5">
        <f t="shared" si="74"/>
        <v>2736.8753227042434</v>
      </c>
      <c r="O57" s="5">
        <f t="shared" si="74"/>
        <v>2621.971176355411</v>
      </c>
      <c r="P57" s="5">
        <f t="shared" si="74"/>
        <v>2641.5642459618775</v>
      </c>
      <c r="Q57" s="5">
        <f t="shared" si="74"/>
        <v>2483.7558600045877</v>
      </c>
      <c r="R57" s="5">
        <f t="shared" si="74"/>
        <v>2411.7206101045604</v>
      </c>
      <c r="S57" s="5">
        <f t="shared" si="74"/>
        <v>2159.1595693274257</v>
      </c>
      <c r="T57" s="5">
        <f t="shared" si="74"/>
        <v>2238.8395446604609</v>
      </c>
      <c r="U57" s="5">
        <f t="shared" si="74"/>
        <v>2327.8418674047139</v>
      </c>
      <c r="V57" s="5">
        <f t="shared" si="74"/>
        <v>1982.3306729500532</v>
      </c>
      <c r="W57" s="5">
        <f t="shared" si="74"/>
        <v>2015.168144981348</v>
      </c>
      <c r="X57" s="5">
        <f t="shared" si="74"/>
        <v>2230.5058143667238</v>
      </c>
      <c r="Y57" s="5">
        <f t="shared" si="74"/>
        <v>2425.2974275342949</v>
      </c>
      <c r="Z57" s="5">
        <f t="shared" si="74"/>
        <v>2521.8421868716355</v>
      </c>
      <c r="AA57" s="5">
        <f t="shared" si="74"/>
        <v>2717.7721792901602</v>
      </c>
      <c r="AB57" s="5">
        <f t="shared" si="74"/>
        <v>2577.2858974832011</v>
      </c>
      <c r="AC57" s="5">
        <f t="shared" si="74"/>
        <v>2624.9869434256652</v>
      </c>
      <c r="AD57" s="5">
        <f t="shared" si="74"/>
        <v>2667.9116101083255</v>
      </c>
      <c r="AE57" s="5">
        <f t="shared" si="74"/>
        <v>2729.1714558311169</v>
      </c>
      <c r="AF57" s="5">
        <f t="shared" si="74"/>
        <v>2808.3801069250053</v>
      </c>
      <c r="AG57" s="5">
        <f t="shared" si="74"/>
        <v>3060.7601437574108</v>
      </c>
      <c r="AH57" s="5">
        <f t="shared" si="74"/>
        <v>3103.9541409155927</v>
      </c>
      <c r="AI57" s="5">
        <f t="shared" si="74"/>
        <v>3126.5770039999998</v>
      </c>
      <c r="AJ57" s="5">
        <f t="shared" si="74"/>
        <v>3311.1447124275678</v>
      </c>
      <c r="AK57" s="5">
        <f t="shared" si="74"/>
        <v>3451.1731051817164</v>
      </c>
      <c r="AL57" s="5">
        <f t="shared" si="74"/>
        <v>3269.7219092965011</v>
      </c>
      <c r="AM57" s="5">
        <f t="shared" si="74"/>
        <v>3246.609152</v>
      </c>
      <c r="AN57" s="5">
        <f t="shared" si="74"/>
        <v>3278.8496369605023</v>
      </c>
      <c r="AO57" s="5">
        <f t="shared" si="74"/>
        <v>3050.2080438901307</v>
      </c>
      <c r="AP57" s="5">
        <f t="shared" si="74"/>
        <v>2799.0993758095683</v>
      </c>
      <c r="AQ57" s="5">
        <f t="shared" si="74"/>
        <v>2677.7578599999997</v>
      </c>
      <c r="AR57" s="5">
        <f t="shared" si="74"/>
        <v>2824.531653445953</v>
      </c>
      <c r="AS57" s="5">
        <f t="shared" si="74"/>
        <v>2808.6503129524704</v>
      </c>
      <c r="AT57" s="5">
        <f t="shared" si="74"/>
        <v>2507.0190933838858</v>
      </c>
      <c r="AU57" s="5">
        <f t="shared" si="74"/>
        <v>2772</v>
      </c>
      <c r="AV57" s="5">
        <f t="shared" ref="AV57:BB57" si="78">AV37</f>
        <v>2865.8842342198377</v>
      </c>
      <c r="AW57" s="5">
        <f t="shared" si="78"/>
        <v>2721.4162617878787</v>
      </c>
      <c r="AX57" s="5">
        <f t="shared" si="78"/>
        <v>3072.8614151678034</v>
      </c>
      <c r="AY57" s="5">
        <f t="shared" si="78"/>
        <v>3069</v>
      </c>
      <c r="AZ57" s="5">
        <f t="shared" si="78"/>
        <v>3261.3093142911703</v>
      </c>
      <c r="BA57" s="5">
        <f t="shared" si="78"/>
        <v>3611.5291991229756</v>
      </c>
      <c r="BB57" s="5">
        <f t="shared" si="78"/>
        <v>3286.1766212997227</v>
      </c>
      <c r="BP57">
        <v>2017</v>
      </c>
      <c r="BQ57" s="118">
        <v>971.69780095161491</v>
      </c>
      <c r="BR57" s="118">
        <v>58.42197502449914</v>
      </c>
      <c r="BS57" s="118">
        <v>4.2770219585491782</v>
      </c>
      <c r="BT57" s="118">
        <v>458.23367249135623</v>
      </c>
      <c r="BU57" s="118">
        <v>1793.6389598515498</v>
      </c>
      <c r="BV57" s="118">
        <v>59.497184411456416</v>
      </c>
      <c r="BW57" s="118">
        <v>2653.5491863240372</v>
      </c>
      <c r="BX57" s="118">
        <v>3286.1766212997227</v>
      </c>
      <c r="BY57" s="118">
        <v>157.39604481768811</v>
      </c>
      <c r="BZ57" s="118">
        <v>714.07677883262534</v>
      </c>
      <c r="CA57" s="118">
        <v>984.99162402591401</v>
      </c>
      <c r="CB57" s="118">
        <v>244.97167709150528</v>
      </c>
      <c r="CC57" s="118">
        <v>93.885723189927347</v>
      </c>
      <c r="CD57" s="118">
        <v>115.00668055372442</v>
      </c>
      <c r="CE57" s="118">
        <v>37.768124814892275</v>
      </c>
      <c r="CF57" s="118">
        <v>179.8142879532501</v>
      </c>
      <c r="CG57" s="118">
        <v>28.943222007530053</v>
      </c>
      <c r="CH57" s="118">
        <v>38.943663904859179</v>
      </c>
    </row>
    <row r="58" spans="6:91" x14ac:dyDescent="0.2">
      <c r="BP58" s="5"/>
      <c r="BQ58" s="5"/>
      <c r="BR58" s="5"/>
      <c r="BS58" s="5"/>
      <c r="BT58" s="5"/>
      <c r="BU58" s="5"/>
      <c r="BV58" s="5"/>
      <c r="BW58" s="5"/>
      <c r="BX58" s="5"/>
      <c r="BY58" s="5"/>
      <c r="BZ58" s="5"/>
      <c r="CA58" s="5"/>
      <c r="CB58" s="5"/>
      <c r="CC58" s="5"/>
      <c r="CD58" s="5"/>
      <c r="CE58" s="5"/>
      <c r="CF58" s="5"/>
      <c r="CG58" s="5"/>
    </row>
    <row r="59" spans="6:91" x14ac:dyDescent="0.2">
      <c r="BP59" s="5"/>
      <c r="BQ59" s="5"/>
      <c r="BR59" s="5"/>
      <c r="BS59" s="5"/>
      <c r="BT59" s="5"/>
      <c r="BU59" s="5"/>
      <c r="BV59" s="5"/>
      <c r="BW59" s="5"/>
      <c r="BX59" s="5"/>
      <c r="BY59" s="5"/>
      <c r="BZ59" s="5"/>
      <c r="CA59" s="5"/>
      <c r="CB59" s="5"/>
      <c r="CC59" s="5"/>
      <c r="CD59" s="5"/>
      <c r="CE59" s="5"/>
      <c r="CF59" s="5"/>
      <c r="CG59" s="5"/>
    </row>
    <row r="60" spans="6:91" x14ac:dyDescent="0.2">
      <c r="BP60" s="5"/>
      <c r="BQ60" s="5"/>
      <c r="BR60" s="5"/>
      <c r="BS60" s="5"/>
      <c r="BT60" s="5"/>
      <c r="BU60" s="5"/>
      <c r="BV60" s="5"/>
      <c r="BW60" s="5"/>
      <c r="BX60" s="5"/>
      <c r="BY60" s="5"/>
      <c r="BZ60" s="5"/>
      <c r="CA60" s="5"/>
      <c r="CB60" s="5"/>
      <c r="CC60" s="5"/>
      <c r="CD60" s="5"/>
      <c r="CE60" s="5"/>
      <c r="CF60" s="5"/>
      <c r="CG60" s="5"/>
    </row>
    <row r="61" spans="6:91" x14ac:dyDescent="0.2">
      <c r="BP61" s="5"/>
      <c r="BQ61" s="5"/>
      <c r="BR61" s="5"/>
      <c r="BS61" s="5"/>
      <c r="BT61" s="5"/>
      <c r="BU61" s="5"/>
      <c r="BV61" s="5"/>
      <c r="BW61" s="5"/>
      <c r="BX61" s="5"/>
      <c r="BY61" s="5"/>
      <c r="BZ61" s="5"/>
      <c r="CA61" s="5"/>
      <c r="CB61" s="5"/>
      <c r="CC61" s="5"/>
      <c r="CD61" s="5"/>
      <c r="CE61" s="5"/>
      <c r="CF61" s="5"/>
      <c r="CG61" s="5"/>
    </row>
    <row r="62" spans="6:91" x14ac:dyDescent="0.2">
      <c r="BP62" s="5"/>
      <c r="BQ62" s="5"/>
      <c r="BR62" s="5"/>
      <c r="BS62" s="5"/>
      <c r="BT62" s="5"/>
      <c r="BU62" s="5"/>
      <c r="BV62" s="5"/>
      <c r="BW62" s="5"/>
      <c r="BX62" s="5"/>
      <c r="BY62" s="5"/>
      <c r="BZ62" s="5"/>
      <c r="CA62" s="5"/>
      <c r="CB62" s="5"/>
      <c r="CC62" s="5"/>
      <c r="CD62" s="5"/>
      <c r="CE62" s="5"/>
      <c r="CF62" s="5"/>
      <c r="CG62" s="5"/>
    </row>
    <row r="63" spans="6:91" x14ac:dyDescent="0.2">
      <c r="BP63" s="5"/>
      <c r="BQ63" s="5"/>
      <c r="BR63" s="5"/>
      <c r="BS63" s="5"/>
      <c r="BT63" s="5"/>
      <c r="BU63" s="5"/>
      <c r="BV63" s="5"/>
      <c r="BW63" s="5"/>
      <c r="BX63" s="5"/>
      <c r="BY63" s="5"/>
      <c r="BZ63" s="5"/>
      <c r="CA63" s="5"/>
      <c r="CB63" s="5"/>
      <c r="CC63" s="5"/>
      <c r="CD63" s="5"/>
      <c r="CE63" s="5"/>
      <c r="CF63" s="5"/>
      <c r="CG63" s="5"/>
    </row>
    <row r="64" spans="6:91" x14ac:dyDescent="0.2">
      <c r="BP64" s="5"/>
      <c r="BQ64" s="5"/>
      <c r="BR64" s="5"/>
      <c r="BS64" s="5"/>
      <c r="BT64" s="5"/>
      <c r="BU64" s="5"/>
      <c r="BV64" s="5"/>
      <c r="BW64" s="5"/>
      <c r="BX64" s="5"/>
      <c r="BY64" s="5"/>
      <c r="BZ64" s="5"/>
      <c r="CA64" s="5"/>
      <c r="CB64" s="5"/>
      <c r="CC64" s="5"/>
      <c r="CD64" s="5"/>
      <c r="CE64" s="5"/>
      <c r="CF64" s="5"/>
      <c r="CG64" s="5"/>
    </row>
    <row r="66" spans="6:68" x14ac:dyDescent="0.2">
      <c r="BP66" s="52"/>
    </row>
    <row r="75" spans="6:68" x14ac:dyDescent="0.2">
      <c r="G75">
        <v>1970</v>
      </c>
      <c r="H75">
        <v>1971</v>
      </c>
      <c r="I75">
        <v>1972</v>
      </c>
      <c r="J75">
        <v>1973</v>
      </c>
      <c r="K75">
        <v>1974</v>
      </c>
      <c r="L75">
        <v>1975</v>
      </c>
      <c r="M75">
        <v>1976</v>
      </c>
      <c r="N75">
        <f>N53</f>
        <v>1977</v>
      </c>
      <c r="O75">
        <f t="shared" ref="O75:AS75" si="79">O53</f>
        <v>1978</v>
      </c>
      <c r="P75">
        <f t="shared" si="79"/>
        <v>1979</v>
      </c>
      <c r="Q75">
        <f t="shared" si="79"/>
        <v>1980</v>
      </c>
      <c r="R75">
        <f t="shared" si="79"/>
        <v>1981</v>
      </c>
      <c r="S75">
        <f t="shared" si="79"/>
        <v>1982</v>
      </c>
      <c r="T75">
        <f t="shared" si="79"/>
        <v>1983</v>
      </c>
      <c r="U75">
        <f t="shared" si="79"/>
        <v>1984</v>
      </c>
      <c r="V75">
        <f t="shared" si="79"/>
        <v>1985</v>
      </c>
      <c r="W75">
        <f t="shared" si="79"/>
        <v>1986</v>
      </c>
      <c r="X75">
        <f t="shared" si="79"/>
        <v>1987</v>
      </c>
      <c r="Y75">
        <f t="shared" si="79"/>
        <v>1988</v>
      </c>
      <c r="Z75">
        <f t="shared" si="79"/>
        <v>1989</v>
      </c>
      <c r="AA75">
        <f t="shared" si="79"/>
        <v>1990</v>
      </c>
      <c r="AB75">
        <f t="shared" si="79"/>
        <v>1991</v>
      </c>
      <c r="AC75">
        <f t="shared" si="79"/>
        <v>1992</v>
      </c>
      <c r="AD75">
        <f t="shared" si="79"/>
        <v>1993</v>
      </c>
      <c r="AE75">
        <f t="shared" si="79"/>
        <v>1994</v>
      </c>
      <c r="AF75">
        <f t="shared" si="79"/>
        <v>1995</v>
      </c>
      <c r="AG75">
        <f t="shared" si="79"/>
        <v>1996</v>
      </c>
      <c r="AH75">
        <f t="shared" si="79"/>
        <v>1997</v>
      </c>
      <c r="AI75">
        <f t="shared" si="79"/>
        <v>1998</v>
      </c>
      <c r="AJ75">
        <f t="shared" si="79"/>
        <v>1999</v>
      </c>
      <c r="AK75">
        <f t="shared" si="79"/>
        <v>2000</v>
      </c>
      <c r="AL75">
        <f t="shared" si="79"/>
        <v>2001</v>
      </c>
      <c r="AM75">
        <f t="shared" si="79"/>
        <v>2002</v>
      </c>
      <c r="AN75">
        <f t="shared" si="79"/>
        <v>2003</v>
      </c>
      <c r="AO75">
        <f t="shared" si="79"/>
        <v>2004</v>
      </c>
      <c r="AP75">
        <f t="shared" si="79"/>
        <v>2005</v>
      </c>
      <c r="AQ75">
        <f t="shared" si="79"/>
        <v>2006</v>
      </c>
      <c r="AR75">
        <f t="shared" si="79"/>
        <v>2007</v>
      </c>
      <c r="AS75">
        <f t="shared" si="79"/>
        <v>2008</v>
      </c>
      <c r="AT75">
        <f>AT53</f>
        <v>2009</v>
      </c>
      <c r="AU75">
        <f>AU53</f>
        <v>2010</v>
      </c>
    </row>
    <row r="76" spans="6:68" x14ac:dyDescent="0.2">
      <c r="F76" t="str">
        <f t="shared" ref="F76:AU79" si="80">F38</f>
        <v>326</v>
      </c>
      <c r="G76" s="66">
        <f t="shared" si="80"/>
        <v>159.09274698292725</v>
      </c>
      <c r="H76" s="66">
        <f t="shared" si="80"/>
        <v>174.40056907665885</v>
      </c>
      <c r="I76" s="66">
        <f t="shared" si="80"/>
        <v>209.55477565245272</v>
      </c>
      <c r="J76" s="66">
        <f t="shared" si="80"/>
        <v>199.50643162268227</v>
      </c>
      <c r="K76" s="66">
        <f t="shared" si="80"/>
        <v>183.40529199206608</v>
      </c>
      <c r="L76" s="66">
        <f t="shared" si="80"/>
        <v>167.84096044703415</v>
      </c>
      <c r="M76" s="66">
        <f t="shared" si="80"/>
        <v>171.86133237124594</v>
      </c>
      <c r="N76" s="66">
        <f t="shared" si="80"/>
        <v>195.61017717490614</v>
      </c>
      <c r="O76" s="66">
        <f t="shared" si="80"/>
        <v>183.32151269547202</v>
      </c>
      <c r="P76" s="66">
        <f t="shared" si="80"/>
        <v>170.57981942704774</v>
      </c>
      <c r="Q76" s="66">
        <f t="shared" si="80"/>
        <v>148.87581004766508</v>
      </c>
      <c r="R76" s="66">
        <f t="shared" si="80"/>
        <v>143.31845004025831</v>
      </c>
      <c r="S76" s="66">
        <f t="shared" si="80"/>
        <v>136.26444012949824</v>
      </c>
      <c r="T76" s="66">
        <f t="shared" si="80"/>
        <v>143.92248842557854</v>
      </c>
      <c r="U76" s="66">
        <f t="shared" si="80"/>
        <v>145.58566260981641</v>
      </c>
      <c r="V76" s="66">
        <f t="shared" si="80"/>
        <v>128.43055874180072</v>
      </c>
      <c r="W76" s="66">
        <f t="shared" si="80"/>
        <v>135.02187702867309</v>
      </c>
      <c r="X76" s="66">
        <f t="shared" si="80"/>
        <v>151.42293972634729</v>
      </c>
      <c r="Y76" s="66">
        <f t="shared" si="80"/>
        <v>150.36582650079393</v>
      </c>
      <c r="Z76" s="66">
        <f t="shared" si="80"/>
        <v>156.13332627095838</v>
      </c>
      <c r="AA76" s="66">
        <f t="shared" si="80"/>
        <v>135.02276624658089</v>
      </c>
      <c r="AB76" s="66">
        <f t="shared" si="80"/>
        <v>125.61488437265322</v>
      </c>
      <c r="AC76" s="66">
        <f t="shared" si="80"/>
        <v>132.95089229393827</v>
      </c>
      <c r="AD76" s="66">
        <f t="shared" si="80"/>
        <v>136.77256011490636</v>
      </c>
      <c r="AE76" s="66">
        <f t="shared" si="80"/>
        <v>141.58522460569185</v>
      </c>
      <c r="AF76" s="66">
        <f t="shared" si="80"/>
        <v>151.80278514264387</v>
      </c>
      <c r="AG76" s="66">
        <f t="shared" si="80"/>
        <v>145.59186602176126</v>
      </c>
      <c r="AH76" s="66">
        <f t="shared" si="80"/>
        <v>135.30020215581013</v>
      </c>
      <c r="AI76" s="66">
        <f t="shared" si="80"/>
        <v>144.39999600000002</v>
      </c>
      <c r="AJ76" s="66">
        <f t="shared" si="80"/>
        <v>163.77373974259751</v>
      </c>
      <c r="AK76" s="66">
        <f t="shared" si="80"/>
        <v>170.55457311273068</v>
      </c>
      <c r="AL76" s="66">
        <f t="shared" si="80"/>
        <v>170.96821812825092</v>
      </c>
      <c r="AM76" s="66">
        <f t="shared" si="80"/>
        <v>166.54642800000002</v>
      </c>
      <c r="AN76" s="66">
        <f t="shared" si="80"/>
        <v>162.38700858836174</v>
      </c>
      <c r="AO76" s="66">
        <f t="shared" si="80"/>
        <v>156.34521408513098</v>
      </c>
      <c r="AP76" s="66">
        <f t="shared" si="80"/>
        <v>150.24560489044413</v>
      </c>
      <c r="AQ76" s="66">
        <f t="shared" si="80"/>
        <v>153.785552</v>
      </c>
      <c r="AR76" s="66">
        <f t="shared" si="80"/>
        <v>143.10994103075981</v>
      </c>
      <c r="AS76" s="66">
        <f t="shared" si="80"/>
        <v>118.89421130373546</v>
      </c>
      <c r="AT76" s="66">
        <f t="shared" si="80"/>
        <v>111.58171088640285</v>
      </c>
      <c r="AU76" s="66">
        <f t="shared" si="80"/>
        <v>116</v>
      </c>
    </row>
    <row r="77" spans="6:68" x14ac:dyDescent="0.2">
      <c r="F77" t="str">
        <f t="shared" si="80"/>
        <v>327</v>
      </c>
      <c r="G77" s="66">
        <f t="shared" si="80"/>
        <v>1117.4103450383041</v>
      </c>
      <c r="H77" s="66">
        <f t="shared" si="80"/>
        <v>1169.4053021794657</v>
      </c>
      <c r="I77" s="66">
        <f t="shared" si="80"/>
        <v>1209.1243584394715</v>
      </c>
      <c r="J77" s="66">
        <f t="shared" si="80"/>
        <v>1159.8330046800086</v>
      </c>
      <c r="K77" s="66">
        <f t="shared" si="80"/>
        <v>1166.0564308853952</v>
      </c>
      <c r="L77" s="66">
        <f t="shared" si="80"/>
        <v>1035.47811887231</v>
      </c>
      <c r="M77" s="66">
        <f t="shared" si="80"/>
        <v>1081.96606517787</v>
      </c>
      <c r="N77" s="66">
        <f t="shared" si="80"/>
        <v>1108.475410178173</v>
      </c>
      <c r="O77" s="66">
        <f t="shared" si="80"/>
        <v>1121.6910503926601</v>
      </c>
      <c r="P77" s="66">
        <f t="shared" si="80"/>
        <v>1110.4477758031253</v>
      </c>
      <c r="Q77" s="66">
        <f t="shared" si="80"/>
        <v>984.83199894460563</v>
      </c>
      <c r="R77" s="66">
        <f t="shared" si="80"/>
        <v>939.40731186371977</v>
      </c>
      <c r="S77" s="66">
        <f t="shared" si="80"/>
        <v>785.08748857552825</v>
      </c>
      <c r="T77" s="66">
        <f t="shared" si="80"/>
        <v>856.96223110887286</v>
      </c>
      <c r="U77" s="66">
        <f t="shared" si="80"/>
        <v>866.90508828235647</v>
      </c>
      <c r="V77" s="66">
        <f t="shared" si="80"/>
        <v>791.01545520082436</v>
      </c>
      <c r="W77" s="66">
        <f t="shared" si="80"/>
        <v>833.84549437982139</v>
      </c>
      <c r="X77" s="66">
        <f t="shared" si="80"/>
        <v>865.36110422201477</v>
      </c>
      <c r="Y77" s="66">
        <f t="shared" si="80"/>
        <v>884.64406029384702</v>
      </c>
      <c r="Z77" s="66">
        <f t="shared" si="80"/>
        <v>872.26871686531888</v>
      </c>
      <c r="AA77" s="66">
        <f t="shared" si="80"/>
        <v>839.79715936733282</v>
      </c>
      <c r="AB77" s="66">
        <f t="shared" si="80"/>
        <v>788.81428212035598</v>
      </c>
      <c r="AC77" s="66">
        <f t="shared" si="80"/>
        <v>834.39754001449057</v>
      </c>
      <c r="AD77" s="66">
        <f t="shared" si="80"/>
        <v>866.94246720947717</v>
      </c>
      <c r="AE77" s="66">
        <f t="shared" si="80"/>
        <v>822.05619657793363</v>
      </c>
      <c r="AF77" s="66">
        <f t="shared" si="80"/>
        <v>836.37810053118699</v>
      </c>
      <c r="AG77" s="66">
        <f t="shared" si="80"/>
        <v>768.59394669215737</v>
      </c>
      <c r="AH77" s="66">
        <f t="shared" si="80"/>
        <v>781.48054541412921</v>
      </c>
      <c r="AI77" s="66">
        <f t="shared" si="80"/>
        <v>834.98687599999994</v>
      </c>
      <c r="AJ77" s="66">
        <f t="shared" si="80"/>
        <v>887.75742962271181</v>
      </c>
      <c r="AK77" s="66">
        <f t="shared" si="80"/>
        <v>860.3030388807673</v>
      </c>
      <c r="AL77" s="66">
        <f t="shared" si="80"/>
        <v>844.57954689595817</v>
      </c>
      <c r="AM77" s="66">
        <f t="shared" si="80"/>
        <v>910.76708400000007</v>
      </c>
      <c r="AN77" s="66">
        <f t="shared" si="80"/>
        <v>843.66258808021871</v>
      </c>
      <c r="AO77" s="66">
        <f t="shared" si="80"/>
        <v>846.35668023327139</v>
      </c>
      <c r="AP77" s="66">
        <f t="shared" si="80"/>
        <v>887.23108283057456</v>
      </c>
      <c r="AQ77" s="66">
        <f t="shared" si="80"/>
        <v>958.36588800000004</v>
      </c>
      <c r="AR77" s="66">
        <f t="shared" si="80"/>
        <v>888.6890971564701</v>
      </c>
      <c r="AS77" s="66">
        <f t="shared" si="80"/>
        <v>744.58615673498946</v>
      </c>
      <c r="AT77" s="66">
        <f t="shared" si="80"/>
        <v>646.20773136287312</v>
      </c>
      <c r="AU77" s="66">
        <f t="shared" si="80"/>
        <v>600</v>
      </c>
    </row>
    <row r="78" spans="6:68" x14ac:dyDescent="0.2">
      <c r="F78" t="str">
        <f t="shared" si="80"/>
        <v>331</v>
      </c>
      <c r="G78" s="66">
        <f t="shared" si="80"/>
        <v>3864.937493867963</v>
      </c>
      <c r="H78" s="66">
        <f t="shared" si="80"/>
        <v>3608.6021000310971</v>
      </c>
      <c r="I78" s="66">
        <f t="shared" si="80"/>
        <v>3785.5386145932266</v>
      </c>
      <c r="J78" s="66">
        <f t="shared" si="80"/>
        <v>4111.2014447395004</v>
      </c>
      <c r="K78" s="66">
        <f t="shared" si="80"/>
        <v>3959.3259398847586</v>
      </c>
      <c r="L78" s="66">
        <f t="shared" si="80"/>
        <v>3317.3109261313675</v>
      </c>
      <c r="M78" s="66">
        <f t="shared" si="80"/>
        <v>3401.9293768233933</v>
      </c>
      <c r="N78" s="66">
        <f t="shared" si="80"/>
        <v>3345.2362405259669</v>
      </c>
      <c r="O78" s="66">
        <f t="shared" si="80"/>
        <v>3518.5332993251623</v>
      </c>
      <c r="P78" s="66">
        <f t="shared" si="80"/>
        <v>3553.3532623192036</v>
      </c>
      <c r="Q78" s="66">
        <f t="shared" si="80"/>
        <v>2885.7306579716974</v>
      </c>
      <c r="R78" s="66">
        <f t="shared" si="80"/>
        <v>2863.4257409779875</v>
      </c>
      <c r="S78" s="66">
        <f t="shared" si="80"/>
        <v>1939.1872750254779</v>
      </c>
      <c r="T78" s="66">
        <f t="shared" si="80"/>
        <v>2131.381677855878</v>
      </c>
      <c r="U78" s="66">
        <f t="shared" si="80"/>
        <v>2131.9359881692862</v>
      </c>
      <c r="V78" s="66">
        <f t="shared" si="80"/>
        <v>1931.5726855408925</v>
      </c>
      <c r="W78" s="66">
        <f t="shared" si="80"/>
        <v>1819.4681276410374</v>
      </c>
      <c r="X78" s="66">
        <f t="shared" si="80"/>
        <v>1819.8952963174174</v>
      </c>
      <c r="Y78" s="66">
        <f t="shared" si="80"/>
        <v>2134.8918237453663</v>
      </c>
      <c r="Z78" s="66">
        <f t="shared" si="80"/>
        <v>2135.9489196898717</v>
      </c>
      <c r="AA78" s="66">
        <f t="shared" si="80"/>
        <v>2058.910056035751</v>
      </c>
      <c r="AB78" s="66">
        <f t="shared" si="80"/>
        <v>1811.54797443144</v>
      </c>
      <c r="AC78" s="66">
        <f t="shared" si="80"/>
        <v>1860.7007555363432</v>
      </c>
      <c r="AD78" s="66">
        <f t="shared" si="80"/>
        <v>1980.5512991134312</v>
      </c>
      <c r="AE78" s="66">
        <f t="shared" si="80"/>
        <v>2096.657607556745</v>
      </c>
      <c r="AF78" s="66">
        <f t="shared" si="80"/>
        <v>2018.3220014173257</v>
      </c>
      <c r="AG78" s="66">
        <f t="shared" si="80"/>
        <v>2087.7303780101934</v>
      </c>
      <c r="AH78" s="66">
        <f t="shared" si="80"/>
        <v>2032.416827386887</v>
      </c>
      <c r="AI78" s="66">
        <f t="shared" si="80"/>
        <v>2031.356088</v>
      </c>
      <c r="AJ78" s="66">
        <f t="shared" si="80"/>
        <v>1927.9607115402796</v>
      </c>
      <c r="AK78" s="66">
        <f t="shared" si="80"/>
        <v>1984.8032031815608</v>
      </c>
      <c r="AL78" s="66">
        <f t="shared" si="80"/>
        <v>1881.1112478914877</v>
      </c>
      <c r="AM78" s="66">
        <f t="shared" si="80"/>
        <v>1629.9591760000001</v>
      </c>
      <c r="AN78" s="66">
        <f t="shared" si="80"/>
        <v>1681.9663811639548</v>
      </c>
      <c r="AO78" s="66">
        <f t="shared" si="80"/>
        <v>1709.7117812587637</v>
      </c>
      <c r="AP78" s="66">
        <f t="shared" si="80"/>
        <v>1414.7412336622619</v>
      </c>
      <c r="AQ78" s="66">
        <f t="shared" si="80"/>
        <v>1285.6831</v>
      </c>
      <c r="AR78" s="66">
        <f t="shared" si="80"/>
        <v>1398.596658536504</v>
      </c>
      <c r="AS78" s="66">
        <f t="shared" si="80"/>
        <v>1367.2205669627242</v>
      </c>
      <c r="AT78" s="66">
        <f t="shared" si="80"/>
        <v>960.90080405798346</v>
      </c>
      <c r="AU78" s="66">
        <f t="shared" si="80"/>
        <v>1255</v>
      </c>
    </row>
    <row r="79" spans="6:68" x14ac:dyDescent="0.2">
      <c r="F79" t="str">
        <f t="shared" si="80"/>
        <v>332</v>
      </c>
      <c r="G79" s="66">
        <f t="shared" si="80"/>
        <v>344.88659524895439</v>
      </c>
      <c r="H79" s="66">
        <f t="shared" si="80"/>
        <v>331.02849974109631</v>
      </c>
      <c r="I79" s="66">
        <f t="shared" si="80"/>
        <v>343.77320812399466</v>
      </c>
      <c r="J79" s="66">
        <f t="shared" si="80"/>
        <v>325.62117898117543</v>
      </c>
      <c r="K79" s="66">
        <f t="shared" si="80"/>
        <v>293.69135137908847</v>
      </c>
      <c r="L79" s="66">
        <f t="shared" si="80"/>
        <v>275.58926308356416</v>
      </c>
      <c r="M79" s="66">
        <f t="shared" si="80"/>
        <v>278.00111223816049</v>
      </c>
      <c r="N79" s="66">
        <f t="shared" si="80"/>
        <v>285.25328852059283</v>
      </c>
      <c r="O79" s="66">
        <f t="shared" si="80"/>
        <v>295.90446588048593</v>
      </c>
      <c r="P79" s="66">
        <f t="shared" si="80"/>
        <v>287.30153484874103</v>
      </c>
      <c r="Q79" s="66">
        <f t="shared" si="80"/>
        <v>268.52909341700325</v>
      </c>
      <c r="R79" s="66">
        <f t="shared" si="80"/>
        <v>258.21315692472746</v>
      </c>
      <c r="S79" s="66">
        <f t="shared" si="80"/>
        <v>255.11123699757593</v>
      </c>
      <c r="T79" s="66">
        <f t="shared" si="80"/>
        <v>253.36571338825021</v>
      </c>
      <c r="U79" s="66">
        <f t="shared" si="80"/>
        <v>244.02633808062384</v>
      </c>
      <c r="V79" s="66">
        <f t="shared" si="80"/>
        <v>218.6220851003327</v>
      </c>
      <c r="W79" s="66">
        <f t="shared" si="80"/>
        <v>236.43141790334087</v>
      </c>
      <c r="X79" s="66">
        <f t="shared" si="80"/>
        <v>242.60813301921721</v>
      </c>
      <c r="Y79" s="66">
        <f t="shared" si="80"/>
        <v>251.14969713900282</v>
      </c>
      <c r="Z79" s="66">
        <f t="shared" si="80"/>
        <v>241.61252681571094</v>
      </c>
      <c r="AA79" s="66">
        <f t="shared" si="80"/>
        <v>222.61909858361435</v>
      </c>
      <c r="AB79" s="66">
        <f t="shared" si="80"/>
        <v>217.28105279356296</v>
      </c>
      <c r="AC79" s="66">
        <f t="shared" si="80"/>
        <v>221.51344199750795</v>
      </c>
      <c r="AD79" s="66">
        <f t="shared" si="80"/>
        <v>238.70978614279537</v>
      </c>
      <c r="AE79" s="66">
        <f t="shared" si="80"/>
        <v>263.57968281835372</v>
      </c>
      <c r="AF79" s="66">
        <f t="shared" si="80"/>
        <v>289.62365431759213</v>
      </c>
      <c r="AG79" s="66">
        <f t="shared" si="80"/>
        <v>248.28781667305427</v>
      </c>
      <c r="AH79" s="66">
        <f t="shared" si="80"/>
        <v>234.68145352408129</v>
      </c>
      <c r="AI79" s="66">
        <f t="shared" si="80"/>
        <v>265.28541200000001</v>
      </c>
      <c r="AJ79" s="66">
        <f t="shared" si="80"/>
        <v>288.74371654908276</v>
      </c>
      <c r="AK79" s="66">
        <f t="shared" si="80"/>
        <v>253.16629233678722</v>
      </c>
      <c r="AL79" s="66">
        <f t="shared" si="80"/>
        <v>236.80312759318167</v>
      </c>
      <c r="AM79" s="66">
        <f t="shared" si="80"/>
        <v>226.21632399999999</v>
      </c>
      <c r="AN79" s="66">
        <f t="shared" si="80"/>
        <v>210.87604467529428</v>
      </c>
      <c r="AO79" s="66">
        <f t="shared" si="80"/>
        <v>206.00060290700236</v>
      </c>
      <c r="AP79" s="66">
        <f t="shared" si="80"/>
        <v>209.91812999611622</v>
      </c>
      <c r="AQ79" s="66">
        <f t="shared" si="80"/>
        <v>253.81542000000002</v>
      </c>
      <c r="AR79" s="66">
        <f t="shared" si="80"/>
        <v>236.27608038255704</v>
      </c>
      <c r="AS79" s="66">
        <f t="shared" si="80"/>
        <v>186.52536210085808</v>
      </c>
      <c r="AT79" s="66">
        <f t="shared" si="80"/>
        <v>192.36823377378479</v>
      </c>
      <c r="AU79" s="66">
        <f t="shared" si="80"/>
        <v>174</v>
      </c>
    </row>
    <row r="96" spans="7:54" x14ac:dyDescent="0.2">
      <c r="G96">
        <v>1970</v>
      </c>
      <c r="H96">
        <v>1971</v>
      </c>
      <c r="I96">
        <v>1972</v>
      </c>
      <c r="J96">
        <v>1973</v>
      </c>
      <c r="K96">
        <v>1974</v>
      </c>
      <c r="L96">
        <v>1975</v>
      </c>
      <c r="M96">
        <v>1976</v>
      </c>
      <c r="N96">
        <f>N75</f>
        <v>1977</v>
      </c>
      <c r="O96">
        <f t="shared" ref="O96:AS96" si="81">O75</f>
        <v>1978</v>
      </c>
      <c r="P96">
        <f t="shared" si="81"/>
        <v>1979</v>
      </c>
      <c r="Q96">
        <f t="shared" si="81"/>
        <v>1980</v>
      </c>
      <c r="R96">
        <f t="shared" si="81"/>
        <v>1981</v>
      </c>
      <c r="S96">
        <f t="shared" si="81"/>
        <v>1982</v>
      </c>
      <c r="T96">
        <f t="shared" si="81"/>
        <v>1983</v>
      </c>
      <c r="U96">
        <f t="shared" si="81"/>
        <v>1984</v>
      </c>
      <c r="V96">
        <f t="shared" si="81"/>
        <v>1985</v>
      </c>
      <c r="W96">
        <f t="shared" si="81"/>
        <v>1986</v>
      </c>
      <c r="X96">
        <f t="shared" si="81"/>
        <v>1987</v>
      </c>
      <c r="Y96">
        <f t="shared" si="81"/>
        <v>1988</v>
      </c>
      <c r="Z96">
        <f t="shared" si="81"/>
        <v>1989</v>
      </c>
      <c r="AA96">
        <f t="shared" si="81"/>
        <v>1990</v>
      </c>
      <c r="AB96">
        <f t="shared" si="81"/>
        <v>1991</v>
      </c>
      <c r="AC96">
        <f t="shared" si="81"/>
        <v>1992</v>
      </c>
      <c r="AD96">
        <f t="shared" si="81"/>
        <v>1993</v>
      </c>
      <c r="AE96">
        <f t="shared" si="81"/>
        <v>1994</v>
      </c>
      <c r="AF96">
        <f t="shared" si="81"/>
        <v>1995</v>
      </c>
      <c r="AG96">
        <f t="shared" si="81"/>
        <v>1996</v>
      </c>
      <c r="AH96">
        <f t="shared" si="81"/>
        <v>1997</v>
      </c>
      <c r="AI96">
        <f t="shared" si="81"/>
        <v>1998</v>
      </c>
      <c r="AJ96">
        <f t="shared" si="81"/>
        <v>1999</v>
      </c>
      <c r="AK96">
        <f t="shared" si="81"/>
        <v>2000</v>
      </c>
      <c r="AL96">
        <f t="shared" si="81"/>
        <v>2001</v>
      </c>
      <c r="AM96">
        <f t="shared" si="81"/>
        <v>2002</v>
      </c>
      <c r="AN96">
        <f t="shared" si="81"/>
        <v>2003</v>
      </c>
      <c r="AO96">
        <f t="shared" si="81"/>
        <v>2004</v>
      </c>
      <c r="AP96">
        <f t="shared" si="81"/>
        <v>2005</v>
      </c>
      <c r="AQ96">
        <f t="shared" si="81"/>
        <v>2006</v>
      </c>
      <c r="AR96">
        <f t="shared" si="81"/>
        <v>2007</v>
      </c>
      <c r="AS96">
        <f t="shared" si="81"/>
        <v>2008</v>
      </c>
      <c r="AT96">
        <f>AT75</f>
        <v>2009</v>
      </c>
      <c r="AU96">
        <f>AU75</f>
        <v>2010</v>
      </c>
      <c r="AV96">
        <v>2011</v>
      </c>
      <c r="AW96">
        <v>2012</v>
      </c>
      <c r="AX96">
        <v>2013</v>
      </c>
      <c r="AY96">
        <v>2014</v>
      </c>
      <c r="AZ96">
        <v>2015</v>
      </c>
      <c r="BA96">
        <v>2016</v>
      </c>
      <c r="BB96">
        <v>2017</v>
      </c>
    </row>
    <row r="97" spans="6:64" x14ac:dyDescent="0.2">
      <c r="F97" t="str">
        <f t="shared" ref="F97:AU100" si="82">F42</f>
        <v>333</v>
      </c>
      <c r="G97" s="66">
        <f t="shared" si="82"/>
        <v>205.43169611777287</v>
      </c>
      <c r="H97" s="66">
        <f t="shared" si="82"/>
        <v>209.66272055006277</v>
      </c>
      <c r="I97" s="66">
        <f t="shared" si="82"/>
        <v>218.39703797300956</v>
      </c>
      <c r="J97" s="66">
        <f t="shared" si="82"/>
        <v>210.94368618770071</v>
      </c>
      <c r="K97" s="66">
        <f t="shared" si="82"/>
        <v>200.25859350879159</v>
      </c>
      <c r="L97" s="66">
        <f t="shared" si="82"/>
        <v>183.33232342411438</v>
      </c>
      <c r="M97" s="66">
        <f t="shared" si="82"/>
        <v>180.21861384703968</v>
      </c>
      <c r="N97" s="66">
        <f t="shared" si="82"/>
        <v>163.98140169242498</v>
      </c>
      <c r="O97" s="66">
        <f t="shared" si="82"/>
        <v>169.4214943772657</v>
      </c>
      <c r="P97" s="66">
        <f t="shared" si="82"/>
        <v>171.43799219024862</v>
      </c>
      <c r="Q97" s="66">
        <f t="shared" si="82"/>
        <v>159.98993177375115</v>
      </c>
      <c r="R97" s="66">
        <f t="shared" si="82"/>
        <v>149.91649472996102</v>
      </c>
      <c r="S97" s="66">
        <f t="shared" si="82"/>
        <v>146.71824713642917</v>
      </c>
      <c r="T97" s="66">
        <f t="shared" si="82"/>
        <v>141.06442348681631</v>
      </c>
      <c r="U97" s="66">
        <f t="shared" si="82"/>
        <v>139.366750624193</v>
      </c>
      <c r="V97" s="66">
        <f t="shared" si="82"/>
        <v>118.55685257512636</v>
      </c>
      <c r="W97" s="66">
        <f t="shared" si="82"/>
        <v>131.76262360948817</v>
      </c>
      <c r="X97" s="66">
        <f t="shared" si="82"/>
        <v>133.59407668064966</v>
      </c>
      <c r="Y97" s="66">
        <f t="shared" si="82"/>
        <v>138.88393804304263</v>
      </c>
      <c r="Z97" s="66">
        <f t="shared" si="82"/>
        <v>135.84765730352257</v>
      </c>
      <c r="AA97" s="66">
        <f t="shared" si="82"/>
        <v>120.63206911012374</v>
      </c>
      <c r="AB97" s="66">
        <f t="shared" si="82"/>
        <v>113.47965946591772</v>
      </c>
      <c r="AC97" s="66">
        <f t="shared" si="82"/>
        <v>107.05467343210731</v>
      </c>
      <c r="AD97" s="66">
        <f t="shared" si="82"/>
        <v>108.0675573372492</v>
      </c>
      <c r="AE97" s="66">
        <f t="shared" si="82"/>
        <v>112.92234511482371</v>
      </c>
      <c r="AF97" s="66">
        <f t="shared" si="82"/>
        <v>126.83165939971266</v>
      </c>
      <c r="AG97" s="66">
        <f t="shared" si="82"/>
        <v>112.60870645818754</v>
      </c>
      <c r="AH97" s="66">
        <f t="shared" si="82"/>
        <v>106.43670136428443</v>
      </c>
      <c r="AI97" s="66">
        <f t="shared" si="82"/>
        <v>116.85666400000001</v>
      </c>
      <c r="AJ97" s="66">
        <f t="shared" si="82"/>
        <v>123.53689957565348</v>
      </c>
      <c r="AK97" s="66">
        <f t="shared" si="82"/>
        <v>105.82598083764137</v>
      </c>
      <c r="AL97" s="66">
        <f t="shared" si="82"/>
        <v>100.6870972290484</v>
      </c>
      <c r="AM97" s="66">
        <f t="shared" si="82"/>
        <v>91.191044000000005</v>
      </c>
      <c r="AN97" s="66">
        <f t="shared" si="82"/>
        <v>77.406168726625395</v>
      </c>
      <c r="AO97" s="66">
        <f t="shared" si="82"/>
        <v>80.038938927797375</v>
      </c>
      <c r="AP97" s="66">
        <f t="shared" si="82"/>
        <v>81.01961365117613</v>
      </c>
      <c r="AQ97" s="66">
        <f t="shared" si="82"/>
        <v>93.471671999999998</v>
      </c>
      <c r="AR97" s="66">
        <f t="shared" si="82"/>
        <v>100.2520387130355</v>
      </c>
      <c r="AS97" s="66">
        <f t="shared" si="82"/>
        <v>78.853051261641937</v>
      </c>
      <c r="AT97" s="66">
        <f t="shared" si="82"/>
        <v>87.825004558862744</v>
      </c>
      <c r="AU97" s="66">
        <f t="shared" si="82"/>
        <v>78</v>
      </c>
      <c r="AV97" s="66">
        <f t="shared" ref="AV97:BA97" si="83">AV42</f>
        <v>87.855529195606763</v>
      </c>
      <c r="AW97" s="66">
        <f t="shared" si="83"/>
        <v>83.277537047934089</v>
      </c>
      <c r="AX97" s="66">
        <f t="shared" si="83"/>
        <v>85.159713195512765</v>
      </c>
      <c r="AY97" s="66">
        <f t="shared" si="83"/>
        <v>84</v>
      </c>
      <c r="AZ97" s="66">
        <f t="shared" si="83"/>
        <v>91.210008731150793</v>
      </c>
      <c r="BA97" s="66">
        <f t="shared" si="83"/>
        <v>95.547646245422513</v>
      </c>
      <c r="BB97" s="66">
        <f t="shared" ref="BB97" si="84">BB42</f>
        <v>93.885723189927347</v>
      </c>
    </row>
    <row r="98" spans="6:64" x14ac:dyDescent="0.2">
      <c r="F98" t="str">
        <f t="shared" si="82"/>
        <v>334</v>
      </c>
      <c r="G98" s="66">
        <f t="shared" si="82"/>
        <v>74.994206099761243</v>
      </c>
      <c r="H98" s="66">
        <f t="shared" si="82"/>
        <v>75.879990271664923</v>
      </c>
      <c r="I98" s="66">
        <f t="shared" si="82"/>
        <v>74.747061380193131</v>
      </c>
      <c r="J98" s="66">
        <f t="shared" si="82"/>
        <v>64.99906124642898</v>
      </c>
      <c r="K98" s="66">
        <f t="shared" si="82"/>
        <v>54.711571164345017</v>
      </c>
      <c r="L98" s="66">
        <f t="shared" si="82"/>
        <v>55.200028279715859</v>
      </c>
      <c r="M98" s="66">
        <f t="shared" si="82"/>
        <v>54.859566379897664</v>
      </c>
      <c r="N98" s="66">
        <f t="shared" si="82"/>
        <v>52.983336111267811</v>
      </c>
      <c r="O98" s="66">
        <f t="shared" si="82"/>
        <v>56.9354068358452</v>
      </c>
      <c r="P98" s="66">
        <f t="shared" si="82"/>
        <v>53.106404776990686</v>
      </c>
      <c r="Q98" s="66">
        <f t="shared" si="82"/>
        <v>52.692981163001093</v>
      </c>
      <c r="R98" s="66">
        <f t="shared" si="82"/>
        <v>50.110291723208206</v>
      </c>
      <c r="S98" s="66">
        <f t="shared" si="82"/>
        <v>56.145183757856287</v>
      </c>
      <c r="T98" s="66">
        <f t="shared" si="82"/>
        <v>56.920181481751008</v>
      </c>
      <c r="U98" s="66">
        <f t="shared" si="82"/>
        <v>57.108867653751616</v>
      </c>
      <c r="V98" s="66">
        <f t="shared" si="82"/>
        <v>54.78945572429496</v>
      </c>
      <c r="W98" s="66">
        <f t="shared" si="82"/>
        <v>56.773381394787812</v>
      </c>
      <c r="X98" s="66">
        <f t="shared" si="82"/>
        <v>60.400035479019486</v>
      </c>
      <c r="Y98" s="66">
        <f t="shared" si="82"/>
        <v>62.693189717341816</v>
      </c>
      <c r="Z98" s="66">
        <f t="shared" si="82"/>
        <v>62.697248115282292</v>
      </c>
      <c r="AA98" s="66">
        <f t="shared" si="82"/>
        <v>58.165999612572094</v>
      </c>
      <c r="AB98" s="66">
        <f t="shared" si="82"/>
        <v>56.220714404637988</v>
      </c>
      <c r="AC98" s="66">
        <f t="shared" si="82"/>
        <v>60.22308177563918</v>
      </c>
      <c r="AD98" s="66">
        <f t="shared" si="82"/>
        <v>64.59076180040033</v>
      </c>
      <c r="AE98" s="66">
        <f t="shared" si="82"/>
        <v>66.930484972733723</v>
      </c>
      <c r="AF98" s="66">
        <f t="shared" si="82"/>
        <v>73.038453387793254</v>
      </c>
      <c r="AG98" s="66">
        <f t="shared" si="82"/>
        <v>72.049060260742735</v>
      </c>
      <c r="AH98" s="66">
        <f t="shared" si="82"/>
        <v>65.619117583298419</v>
      </c>
      <c r="AI98" s="66">
        <f t="shared" si="82"/>
        <v>67.813715999999999</v>
      </c>
      <c r="AJ98" s="66">
        <f t="shared" si="82"/>
        <v>75.412349760347183</v>
      </c>
      <c r="AK98" s="66">
        <f t="shared" si="82"/>
        <v>77.55543180251361</v>
      </c>
      <c r="AL98" s="66">
        <f t="shared" si="82"/>
        <v>65.334678752934266</v>
      </c>
      <c r="AM98" s="66">
        <f t="shared" si="82"/>
        <v>69.142976000000004</v>
      </c>
      <c r="AN98" s="66">
        <f t="shared" si="82"/>
        <v>51.968914187404209</v>
      </c>
      <c r="AO98" s="66">
        <f t="shared" si="82"/>
        <v>42.613564787609363</v>
      </c>
      <c r="AP98" s="66">
        <f t="shared" si="82"/>
        <v>42.539054285313028</v>
      </c>
      <c r="AQ98" s="66">
        <f t="shared" si="82"/>
        <v>47.139291999999998</v>
      </c>
      <c r="AR98" s="66">
        <f t="shared" si="82"/>
        <v>59.317149731278079</v>
      </c>
      <c r="AS98" s="66">
        <f t="shared" si="82"/>
        <v>43.705219316728574</v>
      </c>
      <c r="AT98" s="66">
        <f t="shared" si="82"/>
        <v>43.349239751799061</v>
      </c>
      <c r="AU98" s="66">
        <f t="shared" si="82"/>
        <v>43</v>
      </c>
      <c r="AV98" s="66">
        <f t="shared" ref="AV98:BA98" si="85">AV43</f>
        <v>49.219159610574309</v>
      </c>
      <c r="AW98" s="66">
        <f t="shared" si="85"/>
        <v>52.591791695115887</v>
      </c>
      <c r="AX98" s="66">
        <f t="shared" si="85"/>
        <v>49.834979659611527</v>
      </c>
      <c r="AY98" s="66">
        <f t="shared" si="85"/>
        <v>50</v>
      </c>
      <c r="AZ98" s="66">
        <f t="shared" si="85"/>
        <v>67.394282393857807</v>
      </c>
      <c r="BA98" s="66">
        <f t="shared" si="85"/>
        <v>78.148456594430797</v>
      </c>
      <c r="BB98" s="66">
        <f t="shared" ref="BB98" si="86">BB43</f>
        <v>115.00668055372442</v>
      </c>
    </row>
    <row r="99" spans="6:64" x14ac:dyDescent="0.2">
      <c r="F99" t="str">
        <f t="shared" si="82"/>
        <v>335</v>
      </c>
      <c r="G99" s="66">
        <f t="shared" si="82"/>
        <v>105.66084719365652</v>
      </c>
      <c r="H99" s="66">
        <f t="shared" si="82"/>
        <v>104.94400315600448</v>
      </c>
      <c r="I99" s="66">
        <f t="shared" si="82"/>
        <v>110.22258197871564</v>
      </c>
      <c r="J99" s="66">
        <f t="shared" si="82"/>
        <v>107.88458131294843</v>
      </c>
      <c r="K99" s="66">
        <f t="shared" si="82"/>
        <v>95.738404505607377</v>
      </c>
      <c r="L99" s="66">
        <f t="shared" si="82"/>
        <v>82.895915930684069</v>
      </c>
      <c r="M99" s="66">
        <f t="shared" si="82"/>
        <v>87.675471319961019</v>
      </c>
      <c r="N99" s="66">
        <f t="shared" si="82"/>
        <v>84.714250197230314</v>
      </c>
      <c r="O99" s="66">
        <f t="shared" si="82"/>
        <v>86.547545354139999</v>
      </c>
      <c r="P99" s="66">
        <f t="shared" si="82"/>
        <v>87.165287787165781</v>
      </c>
      <c r="Q99" s="66">
        <f t="shared" si="82"/>
        <v>79.10024335567347</v>
      </c>
      <c r="R99" s="66">
        <f t="shared" si="82"/>
        <v>75.069692323553895</v>
      </c>
      <c r="S99" s="66">
        <f t="shared" si="82"/>
        <v>71.438470733898484</v>
      </c>
      <c r="T99" s="66">
        <f t="shared" si="82"/>
        <v>74.6434952451839</v>
      </c>
      <c r="U99" s="66">
        <f t="shared" si="82"/>
        <v>72.050738028216614</v>
      </c>
      <c r="V99" s="66">
        <f t="shared" si="82"/>
        <v>62.919467623803939</v>
      </c>
      <c r="W99" s="66">
        <f t="shared" si="82"/>
        <v>69.916919680982033</v>
      </c>
      <c r="X99" s="66">
        <f t="shared" si="82"/>
        <v>67.361584373291663</v>
      </c>
      <c r="Y99" s="66">
        <f t="shared" si="82"/>
        <v>64.55717435203718</v>
      </c>
      <c r="Z99" s="66">
        <f t="shared" si="82"/>
        <v>64.994227835018435</v>
      </c>
      <c r="AA99" s="66">
        <f t="shared" si="82"/>
        <v>57.975944538459906</v>
      </c>
      <c r="AB99" s="66">
        <f t="shared" si="82"/>
        <v>55.611292613491038</v>
      </c>
      <c r="AC99" s="66">
        <f t="shared" si="82"/>
        <v>57.234985489425249</v>
      </c>
      <c r="AD99" s="66">
        <f t="shared" si="82"/>
        <v>62.688490345889321</v>
      </c>
      <c r="AE99" s="66">
        <f t="shared" si="82"/>
        <v>67.848599515192888</v>
      </c>
      <c r="AF99" s="66">
        <f t="shared" si="82"/>
        <v>77.856750209741236</v>
      </c>
      <c r="AG99" s="66">
        <f t="shared" si="82"/>
        <v>67.460163031968875</v>
      </c>
      <c r="AH99" s="66">
        <f t="shared" si="82"/>
        <v>58.848707074425718</v>
      </c>
      <c r="AI99" s="66">
        <f t="shared" si="82"/>
        <v>60.671008</v>
      </c>
      <c r="AJ99" s="66">
        <f t="shared" si="82"/>
        <v>66.741514974897328</v>
      </c>
      <c r="AK99" s="66">
        <f t="shared" si="82"/>
        <v>60.834662292932563</v>
      </c>
      <c r="AL99" s="66">
        <f t="shared" si="82"/>
        <v>57.139295822194057</v>
      </c>
      <c r="AM99" s="66">
        <f t="shared" si="82"/>
        <v>55.569788000000003</v>
      </c>
      <c r="AN99" s="66">
        <f t="shared" si="82"/>
        <v>46.141970005738216</v>
      </c>
      <c r="AO99" s="66">
        <f t="shared" si="82"/>
        <v>40.590875635963556</v>
      </c>
      <c r="AP99" s="66">
        <f t="shared" si="82"/>
        <v>39.675361294282581</v>
      </c>
      <c r="AQ99" s="66">
        <f t="shared" si="82"/>
        <v>43.097796000000002</v>
      </c>
      <c r="AR99" s="66">
        <f t="shared" si="82"/>
        <v>45.825803281131591</v>
      </c>
      <c r="AS99" s="66">
        <f t="shared" si="82"/>
        <v>37.150422470058906</v>
      </c>
      <c r="AT99" s="66">
        <f t="shared" si="82"/>
        <v>36.104547894183433</v>
      </c>
      <c r="AU99" s="66">
        <f t="shared" si="82"/>
        <v>38</v>
      </c>
      <c r="AV99" s="66">
        <f t="shared" ref="AV99:BA99" si="87">AV44</f>
        <v>37.494398211204988</v>
      </c>
      <c r="AW99" s="66">
        <f t="shared" si="87"/>
        <v>33.121930438388155</v>
      </c>
      <c r="AX99" s="66">
        <f t="shared" si="87"/>
        <v>28.316056303566675</v>
      </c>
      <c r="AY99" s="66">
        <f t="shared" si="87"/>
        <v>31</v>
      </c>
      <c r="AZ99" s="66">
        <f t="shared" si="87"/>
        <v>36.617221564145147</v>
      </c>
      <c r="BA99" s="66">
        <f t="shared" si="87"/>
        <v>40.504609252761661</v>
      </c>
      <c r="BB99" s="66">
        <f t="shared" ref="BB99" si="88">BB44</f>
        <v>37.768124814892275</v>
      </c>
    </row>
    <row r="100" spans="6:64" x14ac:dyDescent="0.2">
      <c r="F100" t="str">
        <f t="shared" si="82"/>
        <v>336</v>
      </c>
      <c r="G100" s="66">
        <f t="shared" si="82"/>
        <v>291.57455618133025</v>
      </c>
      <c r="H100" s="66">
        <f t="shared" si="82"/>
        <v>305.33717812676463</v>
      </c>
      <c r="I100" s="66">
        <f t="shared" si="82"/>
        <v>312.66549800977111</v>
      </c>
      <c r="J100" s="66">
        <f t="shared" si="82"/>
        <v>293.10981567003518</v>
      </c>
      <c r="K100" s="66">
        <f t="shared" si="82"/>
        <v>278.49585239729356</v>
      </c>
      <c r="L100" s="66">
        <f t="shared" si="82"/>
        <v>261.61018655965438</v>
      </c>
      <c r="M100" s="66">
        <f t="shared" si="82"/>
        <v>287.01035993942787</v>
      </c>
      <c r="N100" s="66">
        <f t="shared" si="82"/>
        <v>304.37811782877924</v>
      </c>
      <c r="O100" s="66">
        <f t="shared" si="82"/>
        <v>312.69301477526511</v>
      </c>
      <c r="P100" s="66">
        <f t="shared" si="82"/>
        <v>295.31124400025766</v>
      </c>
      <c r="Q100" s="66">
        <f t="shared" si="82"/>
        <v>259.04671378326719</v>
      </c>
      <c r="R100" s="66">
        <f t="shared" si="82"/>
        <v>245.592678776209</v>
      </c>
      <c r="S100" s="66">
        <f t="shared" si="82"/>
        <v>227.04383602320218</v>
      </c>
      <c r="T100" s="66">
        <f t="shared" si="82"/>
        <v>254.64916290082834</v>
      </c>
      <c r="U100" s="66">
        <f t="shared" si="82"/>
        <v>264.14226388134483</v>
      </c>
      <c r="V100" s="66">
        <f t="shared" si="82"/>
        <v>234.98001273849101</v>
      </c>
      <c r="W100" s="66">
        <f t="shared" si="82"/>
        <v>244.14932796917603</v>
      </c>
      <c r="X100" s="66">
        <f t="shared" si="82"/>
        <v>242.38099655777575</v>
      </c>
      <c r="Y100" s="66">
        <f t="shared" si="82"/>
        <v>254.78050349600764</v>
      </c>
      <c r="Z100" s="66">
        <f t="shared" si="82"/>
        <v>251.14742131079424</v>
      </c>
      <c r="AA100" s="66">
        <f t="shared" si="82"/>
        <v>237.32816845389928</v>
      </c>
      <c r="AB100" s="66">
        <f t="shared" si="82"/>
        <v>244.13057132985355</v>
      </c>
      <c r="AC100" s="66">
        <f t="shared" si="82"/>
        <v>253.07663671240181</v>
      </c>
      <c r="AD100" s="66">
        <f t="shared" si="82"/>
        <v>281.57130919761488</v>
      </c>
      <c r="AE100" s="66">
        <f t="shared" si="82"/>
        <v>260.23443301298028</v>
      </c>
      <c r="AF100" s="66">
        <f t="shared" si="82"/>
        <v>278.41898668330401</v>
      </c>
      <c r="AG100" s="66">
        <f t="shared" si="82"/>
        <v>260.19136025138812</v>
      </c>
      <c r="AH100" s="66">
        <f t="shared" si="82"/>
        <v>258.23641416413506</v>
      </c>
      <c r="AI100" s="66">
        <f t="shared" si="82"/>
        <v>292.75512400000002</v>
      </c>
      <c r="AJ100" s="66">
        <f t="shared" si="82"/>
        <v>276.64336592279864</v>
      </c>
      <c r="AK100" s="66">
        <f t="shared" si="82"/>
        <v>246.84021245432757</v>
      </c>
      <c r="AL100" s="66">
        <f t="shared" si="82"/>
        <v>257.20038854295694</v>
      </c>
      <c r="AM100" s="66">
        <f t="shared" si="82"/>
        <v>251.66670399999998</v>
      </c>
      <c r="AN100" s="66">
        <f t="shared" si="82"/>
        <v>229.98821579246055</v>
      </c>
      <c r="AO100" s="66">
        <f t="shared" si="82"/>
        <v>241.72063665115977</v>
      </c>
      <c r="AP100" s="66">
        <f t="shared" si="82"/>
        <v>235.38043019571958</v>
      </c>
      <c r="AQ100" s="66">
        <f t="shared" si="82"/>
        <v>283.93937199999999</v>
      </c>
      <c r="AR100" s="66">
        <f t="shared" si="82"/>
        <v>255.92503066606668</v>
      </c>
      <c r="AS100" s="66">
        <f t="shared" si="82"/>
        <v>178.02133203826156</v>
      </c>
      <c r="AT100" s="66">
        <f t="shared" si="82"/>
        <v>172.38272816028737</v>
      </c>
      <c r="AU100" s="66">
        <f t="shared" si="82"/>
        <v>143</v>
      </c>
      <c r="AV100" s="66">
        <f t="shared" ref="AV100:BA100" si="89">AV45</f>
        <v>150.92000632672566</v>
      </c>
      <c r="AW100" s="66">
        <f t="shared" si="89"/>
        <v>147.50185586468626</v>
      </c>
      <c r="AX100" s="66">
        <f t="shared" si="89"/>
        <v>152.54903819923609</v>
      </c>
      <c r="AY100" s="66">
        <f t="shared" si="89"/>
        <v>164</v>
      </c>
      <c r="AZ100" s="66">
        <f t="shared" si="89"/>
        <v>195.87148502702223</v>
      </c>
      <c r="BA100" s="66">
        <f t="shared" si="89"/>
        <v>208.49515535683466</v>
      </c>
      <c r="BB100" s="66">
        <f t="shared" ref="BB100" si="90">BB45</f>
        <v>179.8142879532501</v>
      </c>
    </row>
    <row r="103" spans="6:64" x14ac:dyDescent="0.2">
      <c r="BK103">
        <f>123.55/127.96</f>
        <v>0.96553610503282283</v>
      </c>
      <c r="BL103">
        <f>36.2/37.5</f>
        <v>0.96533333333333338</v>
      </c>
    </row>
    <row r="127" spans="6:47" x14ac:dyDescent="0.2">
      <c r="G127">
        <v>1970</v>
      </c>
      <c r="H127">
        <v>1971</v>
      </c>
      <c r="I127">
        <v>1972</v>
      </c>
      <c r="J127">
        <v>1973</v>
      </c>
      <c r="K127">
        <v>1974</v>
      </c>
      <c r="L127">
        <v>1975</v>
      </c>
      <c r="M127">
        <v>1976</v>
      </c>
      <c r="N127">
        <f>N29</f>
        <v>1977</v>
      </c>
      <c r="O127">
        <f t="shared" ref="O127:AS127" si="91">O29</f>
        <v>1978</v>
      </c>
      <c r="P127">
        <f t="shared" si="91"/>
        <v>1979</v>
      </c>
      <c r="Q127">
        <f t="shared" si="91"/>
        <v>1980</v>
      </c>
      <c r="R127">
        <f t="shared" si="91"/>
        <v>1981</v>
      </c>
      <c r="S127">
        <f t="shared" si="91"/>
        <v>1982</v>
      </c>
      <c r="T127">
        <f t="shared" si="91"/>
        <v>1983</v>
      </c>
      <c r="U127">
        <f t="shared" si="91"/>
        <v>1984</v>
      </c>
      <c r="V127">
        <f t="shared" si="91"/>
        <v>1985</v>
      </c>
      <c r="W127">
        <f t="shared" si="91"/>
        <v>1986</v>
      </c>
      <c r="X127">
        <f t="shared" si="91"/>
        <v>1987</v>
      </c>
      <c r="Y127">
        <f t="shared" si="91"/>
        <v>1988</v>
      </c>
      <c r="Z127">
        <f t="shared" si="91"/>
        <v>1989</v>
      </c>
      <c r="AA127">
        <f t="shared" si="91"/>
        <v>1990</v>
      </c>
      <c r="AB127">
        <f t="shared" si="91"/>
        <v>1991</v>
      </c>
      <c r="AC127">
        <f t="shared" si="91"/>
        <v>1992</v>
      </c>
      <c r="AD127">
        <f t="shared" si="91"/>
        <v>1993</v>
      </c>
      <c r="AE127">
        <f t="shared" si="91"/>
        <v>1994</v>
      </c>
      <c r="AF127">
        <f t="shared" si="91"/>
        <v>1995</v>
      </c>
      <c r="AG127">
        <f t="shared" si="91"/>
        <v>1996</v>
      </c>
      <c r="AH127">
        <f t="shared" si="91"/>
        <v>1997</v>
      </c>
      <c r="AI127">
        <f t="shared" si="91"/>
        <v>1998</v>
      </c>
      <c r="AJ127">
        <f t="shared" si="91"/>
        <v>1999</v>
      </c>
      <c r="AK127">
        <f t="shared" si="91"/>
        <v>2000</v>
      </c>
      <c r="AL127">
        <f t="shared" si="91"/>
        <v>2001</v>
      </c>
      <c r="AM127">
        <f t="shared" si="91"/>
        <v>2002</v>
      </c>
      <c r="AN127">
        <f t="shared" si="91"/>
        <v>2003</v>
      </c>
      <c r="AO127">
        <f t="shared" si="91"/>
        <v>2004</v>
      </c>
      <c r="AP127">
        <f t="shared" si="91"/>
        <v>2005</v>
      </c>
      <c r="AQ127">
        <f t="shared" si="91"/>
        <v>2006</v>
      </c>
      <c r="AR127">
        <f t="shared" si="91"/>
        <v>2007</v>
      </c>
      <c r="AS127">
        <f t="shared" si="91"/>
        <v>2008</v>
      </c>
      <c r="AT127">
        <f>AT29</f>
        <v>2009</v>
      </c>
      <c r="AU127">
        <f>AU29</f>
        <v>2010</v>
      </c>
    </row>
    <row r="128" spans="6:47" x14ac:dyDescent="0.2">
      <c r="F128" t="str">
        <f>F46</f>
        <v>337</v>
      </c>
      <c r="G128" s="5">
        <f>G46</f>
        <v>41.637418450355618</v>
      </c>
      <c r="H128" s="5">
        <f t="shared" ref="H128:M129" si="92">H46</f>
        <v>45.136137426316026</v>
      </c>
      <c r="I128" s="5">
        <f t="shared" si="92"/>
        <v>50.471560662555731</v>
      </c>
      <c r="J128" s="5">
        <f t="shared" si="92"/>
        <v>44.224441887244147</v>
      </c>
      <c r="K128" s="5">
        <f t="shared" si="92"/>
        <v>45.016686554556983</v>
      </c>
      <c r="L128" s="5">
        <f t="shared" si="92"/>
        <v>38.122775143277181</v>
      </c>
      <c r="M128" s="5">
        <f t="shared" si="92"/>
        <v>37.911695008283047</v>
      </c>
      <c r="N128" s="5">
        <f>N46</f>
        <v>41.259059285128885</v>
      </c>
      <c r="O128" s="5">
        <f t="shared" ref="O128:AS129" si="93">O46</f>
        <v>43.625017700421623</v>
      </c>
      <c r="P128" s="5">
        <f t="shared" si="93"/>
        <v>41.539353256530084</v>
      </c>
      <c r="Q128" s="5">
        <f t="shared" si="93"/>
        <v>37.846453060468896</v>
      </c>
      <c r="R128" s="5">
        <f t="shared" si="93"/>
        <v>35.349587816966157</v>
      </c>
      <c r="S128" s="5">
        <f t="shared" si="93"/>
        <v>32.584803977169017</v>
      </c>
      <c r="T128" s="5">
        <f t="shared" si="93"/>
        <v>34.528968276392881</v>
      </c>
      <c r="U128" s="5">
        <f t="shared" si="93"/>
        <v>38.287353267419007</v>
      </c>
      <c r="V128" s="5">
        <f t="shared" si="93"/>
        <v>37.383822846973821</v>
      </c>
      <c r="W128" s="5">
        <f t="shared" si="93"/>
        <v>42.985850897299549</v>
      </c>
      <c r="X128" s="5">
        <f t="shared" si="93"/>
        <v>46.939987356383909</v>
      </c>
      <c r="Y128" s="5">
        <f t="shared" si="93"/>
        <v>48.640156995919362</v>
      </c>
      <c r="Z128" s="5">
        <f t="shared" si="93"/>
        <v>54.790411286187279</v>
      </c>
      <c r="AA128" s="5">
        <f t="shared" si="93"/>
        <v>52.543324444208949</v>
      </c>
      <c r="AB128" s="5">
        <f t="shared" si="93"/>
        <v>55.8843501953478</v>
      </c>
      <c r="AC128" s="5">
        <f t="shared" si="93"/>
        <v>52.652898635297085</v>
      </c>
      <c r="AD128" s="5">
        <f t="shared" si="93"/>
        <v>50.694628080839159</v>
      </c>
      <c r="AE128" s="5">
        <f t="shared" si="93"/>
        <v>47.300771088826892</v>
      </c>
      <c r="AF128" s="5">
        <f t="shared" si="93"/>
        <v>55.003014814745541</v>
      </c>
      <c r="AG128" s="5">
        <f t="shared" si="93"/>
        <v>51.030768858049989</v>
      </c>
      <c r="AH128" s="5">
        <f t="shared" si="93"/>
        <v>51.656782449462625</v>
      </c>
      <c r="AI128" s="5">
        <f t="shared" si="93"/>
        <v>58.499848</v>
      </c>
      <c r="AJ128" s="5">
        <f t="shared" si="93"/>
        <v>60.507721609016151</v>
      </c>
      <c r="AK128" s="5">
        <f t="shared" si="93"/>
        <v>50.020066867969469</v>
      </c>
      <c r="AL128" s="5">
        <f t="shared" si="93"/>
        <v>42.856703444423736</v>
      </c>
      <c r="AM128" s="5">
        <f t="shared" si="93"/>
        <v>38.904455999999996</v>
      </c>
      <c r="AN128" s="5">
        <f t="shared" si="93"/>
        <v>29.433026608129488</v>
      </c>
      <c r="AO128" s="5">
        <f t="shared" si="93"/>
        <v>28.467484332631365</v>
      </c>
      <c r="AP128" s="5">
        <f t="shared" si="93"/>
        <v>26.177017904743494</v>
      </c>
      <c r="AQ128" s="5">
        <f t="shared" si="93"/>
        <v>28.391231999999999</v>
      </c>
      <c r="AR128" s="5">
        <f t="shared" si="93"/>
        <v>27.714561877145339</v>
      </c>
      <c r="AS128" s="5">
        <f t="shared" si="93"/>
        <v>21.906717243100903</v>
      </c>
      <c r="AT128" s="5">
        <f>AT46</f>
        <v>22.324842479284005</v>
      </c>
      <c r="AU128" s="5">
        <f>AU46</f>
        <v>19</v>
      </c>
    </row>
    <row r="129" spans="6:47" x14ac:dyDescent="0.2">
      <c r="F129" t="str">
        <f>F47</f>
        <v>339</v>
      </c>
      <c r="G129" s="5">
        <f>G47</f>
        <v>47.729569076801901</v>
      </c>
      <c r="H129" s="5">
        <f t="shared" si="92"/>
        <v>50.258813679382584</v>
      </c>
      <c r="I129" s="5">
        <f t="shared" si="92"/>
        <v>57.277436919861096</v>
      </c>
      <c r="J129" s="5">
        <f t="shared" si="92"/>
        <v>48.931296111538408</v>
      </c>
      <c r="K129" s="5">
        <f t="shared" si="92"/>
        <v>43.214543825357822</v>
      </c>
      <c r="L129" s="5">
        <f t="shared" si="92"/>
        <v>39.129404667640735</v>
      </c>
      <c r="M129" s="5">
        <f t="shared" si="92"/>
        <v>38.759360672188258</v>
      </c>
      <c r="N129" s="5">
        <f>N47</f>
        <v>43.487571811087662</v>
      </c>
      <c r="O129" s="5">
        <f t="shared" si="93"/>
        <v>45.474670329507163</v>
      </c>
      <c r="P129" s="5">
        <f t="shared" si="93"/>
        <v>44.174157180206429</v>
      </c>
      <c r="Q129" s="5">
        <f t="shared" si="93"/>
        <v>42.106648223701853</v>
      </c>
      <c r="R129" s="5">
        <f t="shared" si="93"/>
        <v>39.419355998762526</v>
      </c>
      <c r="S129" s="5">
        <f t="shared" si="93"/>
        <v>35.311188624615482</v>
      </c>
      <c r="T129" s="5">
        <f t="shared" si="93"/>
        <v>37.91854792698863</v>
      </c>
      <c r="U129" s="5">
        <f t="shared" si="93"/>
        <v>38.181347066222365</v>
      </c>
      <c r="V129" s="5">
        <f t="shared" si="93"/>
        <v>33.863505680901589</v>
      </c>
      <c r="W129" s="5">
        <f t="shared" si="93"/>
        <v>39.628355216449528</v>
      </c>
      <c r="X129" s="5">
        <f t="shared" si="93"/>
        <v>43.311356676392833</v>
      </c>
      <c r="Y129" s="5">
        <f t="shared" si="93"/>
        <v>45.434393503358493</v>
      </c>
      <c r="Z129" s="5">
        <f t="shared" si="93"/>
        <v>41.18066817037402</v>
      </c>
      <c r="AA129" s="5">
        <f t="shared" si="93"/>
        <v>38.691516089207084</v>
      </c>
      <c r="AB129" s="5">
        <f t="shared" si="93"/>
        <v>34.793804965135031</v>
      </c>
      <c r="AC129" s="5">
        <f t="shared" si="93"/>
        <v>38.845725201786685</v>
      </c>
      <c r="AD129" s="5">
        <f t="shared" si="93"/>
        <v>43.649220105879621</v>
      </c>
      <c r="AE129" s="5">
        <f t="shared" si="93"/>
        <v>48.376910834473634</v>
      </c>
      <c r="AF129" s="5">
        <f t="shared" si="93"/>
        <v>54.003433472495793</v>
      </c>
      <c r="AG129" s="5">
        <f t="shared" si="93"/>
        <v>44.191956365805062</v>
      </c>
      <c r="AH129" s="5">
        <f t="shared" si="93"/>
        <v>42.319065802984603</v>
      </c>
      <c r="AI129" s="5">
        <f t="shared" si="93"/>
        <v>47.700868</v>
      </c>
      <c r="AJ129" s="5">
        <f t="shared" si="93"/>
        <v>46.745155175063296</v>
      </c>
      <c r="AK129" s="5">
        <f t="shared" si="93"/>
        <v>38.101014045070116</v>
      </c>
      <c r="AL129" s="5">
        <f t="shared" si="93"/>
        <v>33.200659911387405</v>
      </c>
      <c r="AM129" s="5">
        <f t="shared" si="93"/>
        <v>35.603912000000001</v>
      </c>
      <c r="AN129" s="5">
        <f t="shared" si="93"/>
        <v>30.337702942254708</v>
      </c>
      <c r="AO129" s="5">
        <f t="shared" si="93"/>
        <v>28.689353232890731</v>
      </c>
      <c r="AP129" s="5">
        <f t="shared" si="93"/>
        <v>27.696006039892389</v>
      </c>
      <c r="AQ129" s="5">
        <f t="shared" si="93"/>
        <v>32.982075999999999</v>
      </c>
      <c r="AR129" s="5">
        <f t="shared" si="93"/>
        <v>31.838460359608138</v>
      </c>
      <c r="AS129" s="5">
        <f t="shared" si="93"/>
        <v>20.608192835341118</v>
      </c>
      <c r="AT129" s="5">
        <f>AT47</f>
        <v>22.524890856185063</v>
      </c>
      <c r="AU129" s="5">
        <f>AU47</f>
        <v>17</v>
      </c>
    </row>
  </sheetData>
  <pageMargins left="0.75" right="0.75" top="1" bottom="1" header="0.5" footer="0.5"/>
  <headerFooter alignWithMargins="0"/>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6:BD291"/>
  <sheetViews>
    <sheetView topLeftCell="J1" workbookViewId="0">
      <selection activeCell="M3" sqref="M3"/>
    </sheetView>
  </sheetViews>
  <sheetFormatPr defaultRowHeight="12.75" x14ac:dyDescent="0.2"/>
  <cols>
    <col min="13" max="14" width="10.5703125" bestFit="1" customWidth="1"/>
    <col min="18" max="18" width="10.85546875" customWidth="1"/>
  </cols>
  <sheetData>
    <row r="6" spans="4:18" x14ac:dyDescent="0.2">
      <c r="D6">
        <v>1985</v>
      </c>
      <c r="E6" t="s">
        <v>102</v>
      </c>
      <c r="F6" t="s">
        <v>92</v>
      </c>
      <c r="G6" t="s">
        <v>341</v>
      </c>
      <c r="L6" t="s">
        <v>39</v>
      </c>
      <c r="N6" t="s">
        <v>91</v>
      </c>
    </row>
    <row r="7" spans="4:18" ht="77.25" thickBot="1" x14ac:dyDescent="0.25">
      <c r="E7" s="1"/>
      <c r="F7" s="17" t="s">
        <v>80</v>
      </c>
      <c r="G7" s="17" t="s">
        <v>80</v>
      </c>
      <c r="H7" s="17" t="s">
        <v>80</v>
      </c>
      <c r="I7" s="17" t="s">
        <v>103</v>
      </c>
      <c r="J7" s="17" t="s">
        <v>37</v>
      </c>
      <c r="M7" s="17" t="s">
        <v>35</v>
      </c>
      <c r="N7" s="24" t="s">
        <v>90</v>
      </c>
      <c r="O7" s="25" t="s">
        <v>63</v>
      </c>
      <c r="P7" s="25" t="s">
        <v>62</v>
      </c>
      <c r="R7" s="24" t="s">
        <v>342</v>
      </c>
    </row>
    <row r="8" spans="4:18" x14ac:dyDescent="0.2">
      <c r="D8" s="2">
        <v>311</v>
      </c>
      <c r="E8">
        <v>20</v>
      </c>
      <c r="F8">
        <v>946</v>
      </c>
      <c r="G8">
        <v>44417</v>
      </c>
      <c r="H8" s="12">
        <f>G8*3.412*0.001</f>
        <v>151.550804</v>
      </c>
      <c r="I8" s="12">
        <v>2738.3</v>
      </c>
      <c r="L8" t="s">
        <v>12</v>
      </c>
      <c r="M8" s="15">
        <f>H8+H9</f>
        <v>155.730504</v>
      </c>
      <c r="N8" s="15">
        <f>I8+I9</f>
        <v>2798.2000000000003</v>
      </c>
      <c r="O8" s="4">
        <f>$AD$114</f>
        <v>1.0063510216507281</v>
      </c>
      <c r="P8" s="7">
        <f t="shared" ref="P8:P25" si="0">O8*N8</f>
        <v>2815.9714287830675</v>
      </c>
      <c r="R8">
        <f>I8-0.055*I8</f>
        <v>2587.6935000000003</v>
      </c>
    </row>
    <row r="9" spans="4:18" x14ac:dyDescent="0.2">
      <c r="D9" s="2">
        <v>312</v>
      </c>
      <c r="E9">
        <v>21</v>
      </c>
      <c r="F9">
        <v>19</v>
      </c>
      <c r="G9">
        <v>1225</v>
      </c>
      <c r="H9" s="12">
        <f>G9*3.412*0.001</f>
        <v>4.1796999999999995</v>
      </c>
      <c r="I9" s="12">
        <v>59.9</v>
      </c>
      <c r="L9" t="s">
        <v>13</v>
      </c>
      <c r="M9" s="15">
        <f>H10</f>
        <v>87.183424000000002</v>
      </c>
      <c r="N9" s="15">
        <f>I10+I11</f>
        <v>710.6</v>
      </c>
      <c r="O9" s="4">
        <f>$AD$115</f>
        <v>0.97092854611113166</v>
      </c>
      <c r="P9" s="7">
        <f t="shared" si="0"/>
        <v>689.94182486657019</v>
      </c>
      <c r="R9">
        <f>0.055*I8+I9</f>
        <v>210.50650000000002</v>
      </c>
    </row>
    <row r="10" spans="4:18" x14ac:dyDescent="0.2">
      <c r="D10" s="2">
        <v>313</v>
      </c>
      <c r="E10">
        <v>22</v>
      </c>
      <c r="F10">
        <v>248</v>
      </c>
      <c r="G10">
        <v>25552</v>
      </c>
      <c r="H10" s="12">
        <f>G10*3.412*0.001</f>
        <v>87.183424000000002</v>
      </c>
      <c r="I10" s="12">
        <v>710.6</v>
      </c>
      <c r="L10" t="s">
        <v>14</v>
      </c>
      <c r="M10" s="15">
        <f>H12+H13</f>
        <v>17.343195999999999</v>
      </c>
      <c r="N10" s="15">
        <f>I12+I13</f>
        <v>187.6</v>
      </c>
      <c r="O10" s="4">
        <f>$AD$116</f>
        <v>1.0862977017311064</v>
      </c>
      <c r="P10" s="7">
        <f t="shared" si="0"/>
        <v>203.78944884475555</v>
      </c>
      <c r="R10">
        <f>0.7*I10</f>
        <v>497.41999999999996</v>
      </c>
    </row>
    <row r="11" spans="4:18" x14ac:dyDescent="0.2">
      <c r="D11">
        <v>314</v>
      </c>
      <c r="L11">
        <v>321</v>
      </c>
      <c r="M11" s="15">
        <f t="shared" ref="M11:N18" si="1">H14</f>
        <v>46.925235999999998</v>
      </c>
      <c r="N11" s="15">
        <f t="shared" si="1"/>
        <v>462</v>
      </c>
      <c r="O11" s="4">
        <f>$AD$117</f>
        <v>0.86970227612053164</v>
      </c>
      <c r="P11" s="7">
        <f t="shared" si="0"/>
        <v>401.80245156768564</v>
      </c>
      <c r="R11">
        <f>0.3*I10</f>
        <v>213.18</v>
      </c>
    </row>
    <row r="12" spans="4:18" x14ac:dyDescent="0.2">
      <c r="D12">
        <v>315</v>
      </c>
      <c r="E12">
        <v>23</v>
      </c>
      <c r="F12">
        <v>30</v>
      </c>
      <c r="G12">
        <v>4030</v>
      </c>
      <c r="H12" s="12">
        <f t="shared" ref="H12:H28" si="2">G12*3.412*0.001</f>
        <v>13.750360000000001</v>
      </c>
      <c r="I12" s="12">
        <v>136.5</v>
      </c>
      <c r="L12">
        <f t="shared" ref="L12:L25" si="3">D15</f>
        <v>322</v>
      </c>
      <c r="M12" s="15">
        <f t="shared" si="1"/>
        <v>177.246576</v>
      </c>
      <c r="N12" s="15">
        <f t="shared" si="1"/>
        <v>3385.2</v>
      </c>
      <c r="O12" s="4">
        <f>$AD$118</f>
        <v>0.99832231546260719</v>
      </c>
      <c r="P12" s="7">
        <f t="shared" si="0"/>
        <v>3379.5207023040175</v>
      </c>
      <c r="R12" s="15">
        <f>I12</f>
        <v>136.5</v>
      </c>
    </row>
    <row r="13" spans="4:18" x14ac:dyDescent="0.2">
      <c r="D13">
        <v>316</v>
      </c>
      <c r="E13">
        <v>31</v>
      </c>
      <c r="F13">
        <v>13</v>
      </c>
      <c r="G13">
        <v>1053</v>
      </c>
      <c r="H13" s="12">
        <f t="shared" si="2"/>
        <v>3.5928359999999997</v>
      </c>
      <c r="I13" s="12">
        <v>51.1</v>
      </c>
      <c r="L13">
        <f t="shared" si="3"/>
        <v>323</v>
      </c>
      <c r="M13" s="15">
        <f t="shared" si="1"/>
        <v>38.159807999999998</v>
      </c>
      <c r="N13" s="15">
        <f t="shared" si="1"/>
        <v>288</v>
      </c>
      <c r="O13" s="4">
        <f>$AD$119</f>
        <v>0.70557464070883003</v>
      </c>
      <c r="P13" s="7">
        <f t="shared" si="0"/>
        <v>203.20549652414306</v>
      </c>
      <c r="R13" s="15">
        <f>I13</f>
        <v>51.1</v>
      </c>
    </row>
    <row r="14" spans="4:18" x14ac:dyDescent="0.2">
      <c r="D14">
        <v>321</v>
      </c>
      <c r="E14">
        <v>24</v>
      </c>
      <c r="F14">
        <v>333</v>
      </c>
      <c r="G14">
        <v>13753</v>
      </c>
      <c r="H14" s="12">
        <f t="shared" si="2"/>
        <v>46.925235999999998</v>
      </c>
      <c r="I14" s="12">
        <v>462</v>
      </c>
      <c r="L14">
        <f t="shared" si="3"/>
        <v>324</v>
      </c>
      <c r="M14" s="15">
        <f t="shared" si="1"/>
        <v>113.462648</v>
      </c>
      <c r="N14" s="15">
        <f t="shared" si="1"/>
        <v>3544.2</v>
      </c>
      <c r="O14" s="4">
        <f>$AD$120</f>
        <v>1.0008325708705155</v>
      </c>
      <c r="P14" s="7">
        <f t="shared" si="0"/>
        <v>3547.1507976792809</v>
      </c>
      <c r="R14" s="15">
        <f>N11</f>
        <v>462</v>
      </c>
    </row>
    <row r="15" spans="4:18" x14ac:dyDescent="0.2">
      <c r="D15">
        <v>322</v>
      </c>
      <c r="E15">
        <v>26</v>
      </c>
      <c r="F15">
        <v>2198</v>
      </c>
      <c r="G15">
        <v>51948</v>
      </c>
      <c r="H15" s="12">
        <f t="shared" si="2"/>
        <v>177.246576</v>
      </c>
      <c r="I15" s="12">
        <v>3385.2</v>
      </c>
      <c r="L15">
        <f t="shared" si="3"/>
        <v>325</v>
      </c>
      <c r="M15" s="15">
        <f t="shared" si="1"/>
        <v>407.55657600000001</v>
      </c>
      <c r="N15" s="15">
        <f t="shared" si="1"/>
        <v>5439.9</v>
      </c>
      <c r="O15" s="4">
        <f>$AD$121</f>
        <v>0.99144124267556832</v>
      </c>
      <c r="P15" s="7">
        <f t="shared" si="0"/>
        <v>5393.3412160308235</v>
      </c>
      <c r="R15" s="15">
        <f t="shared" ref="R15:R28" si="4">N12</f>
        <v>3385.2</v>
      </c>
    </row>
    <row r="16" spans="4:18" x14ac:dyDescent="0.2">
      <c r="D16">
        <v>323</v>
      </c>
      <c r="E16">
        <v>27</v>
      </c>
      <c r="F16">
        <v>76</v>
      </c>
      <c r="G16">
        <v>11184</v>
      </c>
      <c r="H16" s="12">
        <f t="shared" si="2"/>
        <v>38.159807999999998</v>
      </c>
      <c r="I16" s="12">
        <v>288</v>
      </c>
      <c r="L16">
        <f t="shared" si="3"/>
        <v>326</v>
      </c>
      <c r="M16" s="15">
        <f t="shared" si="1"/>
        <v>87.975008000000003</v>
      </c>
      <c r="N16" s="15">
        <f t="shared" si="1"/>
        <v>557.6</v>
      </c>
      <c r="O16" s="4">
        <f>$AD$122</f>
        <v>1.0355216047246407</v>
      </c>
      <c r="P16" s="7">
        <f t="shared" si="0"/>
        <v>577.40684679445974</v>
      </c>
      <c r="R16" s="15">
        <f t="shared" si="4"/>
        <v>288</v>
      </c>
    </row>
    <row r="17" spans="4:18" x14ac:dyDescent="0.2">
      <c r="D17">
        <v>324</v>
      </c>
      <c r="E17">
        <v>29</v>
      </c>
      <c r="F17">
        <v>2631</v>
      </c>
      <c r="G17">
        <v>33254</v>
      </c>
      <c r="H17" s="12">
        <f t="shared" si="2"/>
        <v>113.462648</v>
      </c>
      <c r="I17" s="12">
        <v>3544.2</v>
      </c>
      <c r="L17">
        <f t="shared" si="3"/>
        <v>327</v>
      </c>
      <c r="M17" s="15">
        <f t="shared" si="1"/>
        <v>104.93606</v>
      </c>
      <c r="N17" s="15">
        <f t="shared" si="1"/>
        <v>2657.4</v>
      </c>
      <c r="O17" s="4">
        <f>$AD$123</f>
        <v>0.99993870938021057</v>
      </c>
      <c r="P17" s="7">
        <f t="shared" si="0"/>
        <v>2657.2371263069717</v>
      </c>
      <c r="R17" s="15">
        <f t="shared" si="4"/>
        <v>3544.2</v>
      </c>
    </row>
    <row r="18" spans="4:18" x14ac:dyDescent="0.2">
      <c r="D18">
        <v>325</v>
      </c>
      <c r="E18">
        <v>28</v>
      </c>
      <c r="F18">
        <v>2407</v>
      </c>
      <c r="G18">
        <v>119448</v>
      </c>
      <c r="H18" s="12">
        <f t="shared" si="2"/>
        <v>407.55657600000001</v>
      </c>
      <c r="I18" s="12">
        <v>5439.9</v>
      </c>
      <c r="L18">
        <f t="shared" si="3"/>
        <v>331</v>
      </c>
      <c r="M18" s="15">
        <f t="shared" si="1"/>
        <v>479.30411199999998</v>
      </c>
      <c r="N18" s="15">
        <f t="shared" si="1"/>
        <v>4295.3</v>
      </c>
      <c r="O18" s="4">
        <f>$AD$124</f>
        <v>1.010397468376462</v>
      </c>
      <c r="P18" s="7">
        <f t="shared" si="0"/>
        <v>4339.9602459174175</v>
      </c>
      <c r="R18" s="15">
        <f t="shared" si="4"/>
        <v>5439.9</v>
      </c>
    </row>
    <row r="19" spans="4:18" x14ac:dyDescent="0.2">
      <c r="D19">
        <v>326</v>
      </c>
      <c r="E19">
        <v>30</v>
      </c>
      <c r="F19">
        <v>212</v>
      </c>
      <c r="G19">
        <v>25784</v>
      </c>
      <c r="H19" s="12">
        <f t="shared" si="2"/>
        <v>87.975008000000003</v>
      </c>
      <c r="I19" s="12">
        <v>557.6</v>
      </c>
      <c r="L19">
        <f t="shared" si="3"/>
        <v>332</v>
      </c>
      <c r="M19" s="15">
        <f>H22</f>
        <v>91.455247999999997</v>
      </c>
      <c r="N19" s="15">
        <f>I22+$AJ$142*I23-$AJ$149*I22</f>
        <v>1118.721</v>
      </c>
      <c r="O19" s="4">
        <f>$AD$125</f>
        <v>1.0050318572657224</v>
      </c>
      <c r="P19" s="7">
        <f t="shared" si="0"/>
        <v>1124.3502443921664</v>
      </c>
      <c r="R19" s="15">
        <f t="shared" si="4"/>
        <v>557.6</v>
      </c>
    </row>
    <row r="20" spans="4:18" x14ac:dyDescent="0.2">
      <c r="D20">
        <v>327</v>
      </c>
      <c r="E20">
        <v>32</v>
      </c>
      <c r="F20">
        <v>896</v>
      </c>
      <c r="G20">
        <v>30755</v>
      </c>
      <c r="H20" s="12">
        <f t="shared" si="2"/>
        <v>104.93606</v>
      </c>
      <c r="I20" s="12">
        <v>2657.4</v>
      </c>
      <c r="L20">
        <f t="shared" si="3"/>
        <v>333</v>
      </c>
      <c r="M20" s="15">
        <f>0.9*H23</f>
        <v>87.895508399999997</v>
      </c>
      <c r="N20" s="15">
        <f>I23-$AJ$142*I23-$AJ$140*I23-$AJ$141*I23+$AJ$146*I24</f>
        <v>619.35599999999999</v>
      </c>
      <c r="O20" s="4">
        <f>$AD$126</f>
        <v>0.99057294439314503</v>
      </c>
      <c r="P20" s="7">
        <f t="shared" si="0"/>
        <v>613.5172965475607</v>
      </c>
      <c r="R20" s="15">
        <f t="shared" si="4"/>
        <v>2657.4</v>
      </c>
    </row>
    <row r="21" spans="4:18" x14ac:dyDescent="0.2">
      <c r="D21">
        <v>331</v>
      </c>
      <c r="E21">
        <v>33</v>
      </c>
      <c r="F21">
        <v>2391</v>
      </c>
      <c r="G21">
        <v>140476</v>
      </c>
      <c r="H21" s="12">
        <f t="shared" si="2"/>
        <v>479.30411199999998</v>
      </c>
      <c r="I21" s="12">
        <v>4295.3</v>
      </c>
      <c r="L21">
        <f t="shared" si="3"/>
        <v>334</v>
      </c>
      <c r="M21">
        <f>0.1*H23+0.35*H25+0.5*H24</f>
        <v>59.5622604</v>
      </c>
      <c r="N21">
        <f>$AJ$140*I23+$AJ$153*I24+$AJ$151*I25</f>
        <v>285.28600000000006</v>
      </c>
      <c r="O21" s="4">
        <f>$AD$127</f>
        <v>1.0234677016554385</v>
      </c>
      <c r="P21" s="7">
        <f t="shared" si="0"/>
        <v>291.98100673447351</v>
      </c>
      <c r="R21" s="15">
        <f t="shared" si="4"/>
        <v>4295.3</v>
      </c>
    </row>
    <row r="22" spans="4:18" x14ac:dyDescent="0.2">
      <c r="D22">
        <v>332</v>
      </c>
      <c r="E22">
        <v>34</v>
      </c>
      <c r="F22">
        <v>298</v>
      </c>
      <c r="G22">
        <v>26804</v>
      </c>
      <c r="H22" s="12">
        <f t="shared" si="2"/>
        <v>91.455247999999997</v>
      </c>
      <c r="I22" s="12">
        <v>1058.5</v>
      </c>
      <c r="L22">
        <f t="shared" si="3"/>
        <v>335</v>
      </c>
      <c r="M22">
        <f>0.65*H25</f>
        <v>68.494535200000001</v>
      </c>
      <c r="N22">
        <f>(1-$AJ$150-$AJ$151)*I25</f>
        <v>410.78799999999995</v>
      </c>
      <c r="O22" s="4">
        <f>$AD$128</f>
        <v>0.8929284199379155</v>
      </c>
      <c r="P22" s="7">
        <f t="shared" si="0"/>
        <v>366.8042797694564</v>
      </c>
      <c r="R22" s="15">
        <f t="shared" si="4"/>
        <v>1118.721</v>
      </c>
    </row>
    <row r="23" spans="4:18" x14ac:dyDescent="0.2">
      <c r="D23">
        <v>333</v>
      </c>
      <c r="E23">
        <v>35</v>
      </c>
      <c r="F23">
        <v>239</v>
      </c>
      <c r="G23">
        <v>28623</v>
      </c>
      <c r="H23" s="12">
        <f t="shared" si="2"/>
        <v>97.661676</v>
      </c>
      <c r="I23" s="12">
        <v>746.2</v>
      </c>
      <c r="L23">
        <f t="shared" si="3"/>
        <v>336</v>
      </c>
      <c r="M23" s="15">
        <f>H26</f>
        <v>111.80100400000001</v>
      </c>
      <c r="N23" s="15">
        <f>I26+$AJ$149*I22+P$141*I23+$AJ$150*I25</f>
        <v>998.25900000000001</v>
      </c>
      <c r="O23" s="4">
        <f>$AD$129</f>
        <v>1.0499456144576871</v>
      </c>
      <c r="P23" s="7">
        <f t="shared" si="0"/>
        <v>1048.1176591429162</v>
      </c>
      <c r="R23" s="15">
        <f t="shared" si="4"/>
        <v>619.35599999999999</v>
      </c>
    </row>
    <row r="24" spans="4:18" x14ac:dyDescent="0.2">
      <c r="D24">
        <v>334</v>
      </c>
      <c r="E24">
        <v>38</v>
      </c>
      <c r="F24">
        <v>73</v>
      </c>
      <c r="G24">
        <v>7570</v>
      </c>
      <c r="H24" s="12">
        <f t="shared" si="2"/>
        <v>25.82884</v>
      </c>
      <c r="I24" s="12">
        <v>209.9</v>
      </c>
      <c r="L24">
        <f t="shared" si="3"/>
        <v>337</v>
      </c>
      <c r="M24" s="15">
        <f>H27</f>
        <v>14.39864</v>
      </c>
      <c r="N24" s="15">
        <f>I27</f>
        <v>149.19999999999999</v>
      </c>
      <c r="O24" s="4">
        <f>$AD$130</f>
        <v>1.1125687426632083</v>
      </c>
      <c r="P24" s="7">
        <f t="shared" si="0"/>
        <v>165.99525640535066</v>
      </c>
      <c r="R24" s="15">
        <f t="shared" si="4"/>
        <v>285.28600000000006</v>
      </c>
    </row>
    <row r="25" spans="4:18" ht="13.5" thickBot="1" x14ac:dyDescent="0.25">
      <c r="D25">
        <v>335</v>
      </c>
      <c r="E25">
        <v>36</v>
      </c>
      <c r="F25">
        <v>209</v>
      </c>
      <c r="G25">
        <v>30884</v>
      </c>
      <c r="H25" s="12">
        <f t="shared" si="2"/>
        <v>105.37620800000001</v>
      </c>
      <c r="I25" s="12">
        <v>604.1</v>
      </c>
      <c r="L25">
        <f t="shared" si="3"/>
        <v>339</v>
      </c>
      <c r="M25">
        <f>H28+0.5*H24</f>
        <v>23.7987</v>
      </c>
      <c r="N25" s="1">
        <f>I28+$AJ$147*I24</f>
        <v>186.56600000000003</v>
      </c>
      <c r="O25" s="26">
        <f>$AD$131</f>
        <v>0.93664838905802084</v>
      </c>
      <c r="P25" s="27">
        <f t="shared" si="0"/>
        <v>174.74674335299875</v>
      </c>
      <c r="R25" s="15">
        <f t="shared" si="4"/>
        <v>410.78799999999995</v>
      </c>
    </row>
    <row r="26" spans="4:18" x14ac:dyDescent="0.2">
      <c r="D26">
        <v>336</v>
      </c>
      <c r="E26">
        <v>37</v>
      </c>
      <c r="F26">
        <v>317</v>
      </c>
      <c r="G26">
        <v>32767</v>
      </c>
      <c r="H26" s="12">
        <f t="shared" si="2"/>
        <v>111.80100400000001</v>
      </c>
      <c r="I26" s="12">
        <v>900</v>
      </c>
      <c r="M26" s="15">
        <f>SUM(M8:M25)</f>
        <v>2173.2290439999992</v>
      </c>
      <c r="N26" s="15">
        <f>SUM(N8:N25)</f>
        <v>28094.175999999996</v>
      </c>
      <c r="O26" s="15"/>
      <c r="P26" s="15">
        <f>SUM(P8:P25)</f>
        <v>27994.840071964121</v>
      </c>
      <c r="R26" s="15">
        <f t="shared" si="4"/>
        <v>998.25900000000001</v>
      </c>
    </row>
    <row r="27" spans="4:18" x14ac:dyDescent="0.2">
      <c r="D27">
        <v>337</v>
      </c>
      <c r="E27">
        <v>25</v>
      </c>
      <c r="F27">
        <v>48</v>
      </c>
      <c r="G27">
        <v>4220</v>
      </c>
      <c r="H27" s="12">
        <f t="shared" si="2"/>
        <v>14.39864</v>
      </c>
      <c r="I27" s="12">
        <v>149.19999999999999</v>
      </c>
      <c r="R27" s="15">
        <f t="shared" si="4"/>
        <v>149.19999999999999</v>
      </c>
    </row>
    <row r="28" spans="4:18" ht="13.5" thickBot="1" x14ac:dyDescent="0.25">
      <c r="D28">
        <v>339</v>
      </c>
      <c r="E28">
        <v>39</v>
      </c>
      <c r="F28">
        <v>31</v>
      </c>
      <c r="G28">
        <v>3190</v>
      </c>
      <c r="H28" s="12">
        <f t="shared" si="2"/>
        <v>10.88428</v>
      </c>
      <c r="I28" s="12">
        <v>115.2</v>
      </c>
      <c r="R28" s="99">
        <f t="shared" si="4"/>
        <v>186.56600000000003</v>
      </c>
    </row>
    <row r="29" spans="4:18" x14ac:dyDescent="0.2">
      <c r="F29" s="15">
        <f>SUM(F8:F28)</f>
        <v>13615</v>
      </c>
      <c r="G29" s="15">
        <f>SUM(G8:G28)</f>
        <v>636937</v>
      </c>
      <c r="H29" s="15">
        <f>SUM(H8:H28)</f>
        <v>2173.2290439999997</v>
      </c>
      <c r="I29" s="15">
        <f>SUM(I8:I28)</f>
        <v>28109.1</v>
      </c>
      <c r="R29" s="100">
        <f>SUM(R8:R28)</f>
        <v>28094.175999999996</v>
      </c>
    </row>
    <row r="32" spans="4:18" x14ac:dyDescent="0.2">
      <c r="D32">
        <v>1986</v>
      </c>
      <c r="E32" t="s">
        <v>102</v>
      </c>
      <c r="L32" t="s">
        <v>39</v>
      </c>
    </row>
    <row r="33" spans="4:18" ht="77.25" thickBot="1" x14ac:dyDescent="0.25">
      <c r="F33" s="17" t="s">
        <v>80</v>
      </c>
      <c r="G33" s="17" t="s">
        <v>80</v>
      </c>
      <c r="H33" s="17" t="s">
        <v>80</v>
      </c>
      <c r="I33" s="17" t="s">
        <v>103</v>
      </c>
      <c r="J33" s="13"/>
      <c r="M33" s="17" t="s">
        <v>35</v>
      </c>
      <c r="N33" s="24" t="s">
        <v>90</v>
      </c>
      <c r="O33" s="25" t="s">
        <v>63</v>
      </c>
      <c r="P33" s="25" t="s">
        <v>62</v>
      </c>
      <c r="R33" s="24" t="s">
        <v>342</v>
      </c>
    </row>
    <row r="34" spans="4:18" x14ac:dyDescent="0.2">
      <c r="D34" s="2">
        <v>311</v>
      </c>
      <c r="E34">
        <v>20</v>
      </c>
      <c r="F34" s="12">
        <v>996</v>
      </c>
      <c r="G34" s="12">
        <v>50206</v>
      </c>
      <c r="H34" s="12">
        <f>G34*3.412*0.001</f>
        <v>171.30287200000001</v>
      </c>
      <c r="I34" s="12">
        <v>2354.6999999999998</v>
      </c>
      <c r="J34" s="14"/>
      <c r="L34" t="s">
        <v>12</v>
      </c>
      <c r="M34" s="15">
        <f>H34+H35</f>
        <v>174.25084000000001</v>
      </c>
      <c r="N34" s="15">
        <f>I34+I35</f>
        <v>2413.6</v>
      </c>
      <c r="O34" s="4">
        <f>$AD$114</f>
        <v>1.0063510216507281</v>
      </c>
      <c r="P34" s="7">
        <f t="shared" ref="P34:P51" si="5">O34*N34</f>
        <v>2428.9288258561974</v>
      </c>
      <c r="R34">
        <f>I34-0.055*I34</f>
        <v>2225.1914999999999</v>
      </c>
    </row>
    <row r="35" spans="4:18" x14ac:dyDescent="0.2">
      <c r="D35" s="2">
        <v>312</v>
      </c>
      <c r="E35">
        <v>21</v>
      </c>
      <c r="F35" s="12">
        <v>24</v>
      </c>
      <c r="G35" s="12">
        <v>864</v>
      </c>
      <c r="H35" s="12">
        <f>G35*3.412*0.001</f>
        <v>2.9479679999999999</v>
      </c>
      <c r="I35" s="12">
        <v>58.9</v>
      </c>
      <c r="J35" s="14"/>
      <c r="L35" t="s">
        <v>13</v>
      </c>
      <c r="M35" s="15">
        <f>H36</f>
        <v>101.46605599999999</v>
      </c>
      <c r="N35" s="15">
        <f>I36+I37</f>
        <v>612</v>
      </c>
      <c r="O35" s="4">
        <f>$AD$115</f>
        <v>0.97092854611113166</v>
      </c>
      <c r="P35" s="7">
        <f t="shared" si="5"/>
        <v>594.20827022001254</v>
      </c>
      <c r="R35">
        <f>0.055*I34+I35</f>
        <v>188.4085</v>
      </c>
    </row>
    <row r="36" spans="4:18" x14ac:dyDescent="0.2">
      <c r="D36" s="2">
        <v>313</v>
      </c>
      <c r="E36">
        <v>22</v>
      </c>
      <c r="F36" s="12">
        <v>275</v>
      </c>
      <c r="G36" s="12">
        <f>29738</f>
        <v>29738</v>
      </c>
      <c r="H36" s="12">
        <f>G36*3.412*0.001</f>
        <v>101.46605599999999</v>
      </c>
      <c r="I36" s="12">
        <v>612</v>
      </c>
      <c r="J36" s="14"/>
      <c r="L36" t="s">
        <v>14</v>
      </c>
      <c r="M36" s="15">
        <f>H38+H39</f>
        <v>27.4666</v>
      </c>
      <c r="N36" s="15">
        <f>I38+I39</f>
        <v>185.4</v>
      </c>
      <c r="O36" s="4">
        <f>$AD$116</f>
        <v>1.0862977017311064</v>
      </c>
      <c r="P36" s="7">
        <f t="shared" si="5"/>
        <v>201.39959390094714</v>
      </c>
      <c r="R36">
        <f>0.7*I36</f>
        <v>428.4</v>
      </c>
    </row>
    <row r="37" spans="4:18" x14ac:dyDescent="0.2">
      <c r="D37">
        <v>314</v>
      </c>
      <c r="J37" s="3"/>
      <c r="L37">
        <v>321</v>
      </c>
      <c r="M37" s="15">
        <f t="shared" ref="M37:N44" si="6">H40</f>
        <v>56.062572000000003</v>
      </c>
      <c r="N37" s="15">
        <f t="shared" si="6"/>
        <v>430.4</v>
      </c>
      <c r="O37" s="4">
        <f>$AD$117</f>
        <v>0.86970227612053164</v>
      </c>
      <c r="P37" s="7">
        <f t="shared" si="5"/>
        <v>374.31985964227681</v>
      </c>
      <c r="R37">
        <f>0.3*I36</f>
        <v>183.6</v>
      </c>
    </row>
    <row r="38" spans="4:18" x14ac:dyDescent="0.2">
      <c r="D38">
        <v>315</v>
      </c>
      <c r="E38">
        <v>23</v>
      </c>
      <c r="F38">
        <v>54</v>
      </c>
      <c r="G38">
        <v>6659</v>
      </c>
      <c r="H38" s="12">
        <f t="shared" ref="H38:H54" si="7">G38*3.412*0.001</f>
        <v>22.720507999999999</v>
      </c>
      <c r="I38" s="12">
        <v>134.30000000000001</v>
      </c>
      <c r="J38" s="14"/>
      <c r="L38">
        <f t="shared" ref="L38:L51" si="8">D40</f>
        <v>321</v>
      </c>
      <c r="M38" s="15">
        <f t="shared" si="6"/>
        <v>189.424004</v>
      </c>
      <c r="N38" s="15">
        <f t="shared" si="6"/>
        <v>2712.1</v>
      </c>
      <c r="O38" s="4">
        <f>$AD$118</f>
        <v>0.99832231546260719</v>
      </c>
      <c r="P38" s="7">
        <f t="shared" si="5"/>
        <v>2707.5499517661369</v>
      </c>
      <c r="R38" s="15">
        <f>I38</f>
        <v>134.30000000000001</v>
      </c>
    </row>
    <row r="39" spans="4:18" x14ac:dyDescent="0.2">
      <c r="D39">
        <v>316</v>
      </c>
      <c r="E39">
        <v>31</v>
      </c>
      <c r="F39" s="12">
        <v>16</v>
      </c>
      <c r="G39">
        <v>1391</v>
      </c>
      <c r="H39" s="12">
        <f t="shared" si="7"/>
        <v>4.746092</v>
      </c>
      <c r="I39" s="12">
        <v>51.1</v>
      </c>
      <c r="L39">
        <f t="shared" si="8"/>
        <v>322</v>
      </c>
      <c r="M39" s="15">
        <f t="shared" si="6"/>
        <v>58.181424</v>
      </c>
      <c r="N39" s="15">
        <f t="shared" si="6"/>
        <v>269.7</v>
      </c>
      <c r="O39" s="4">
        <f>$AD$119</f>
        <v>0.70557464070883003</v>
      </c>
      <c r="P39" s="7">
        <f t="shared" si="5"/>
        <v>190.29348059917146</v>
      </c>
      <c r="R39" s="15">
        <f>I39</f>
        <v>51.1</v>
      </c>
    </row>
    <row r="40" spans="4:18" x14ac:dyDescent="0.2">
      <c r="D40">
        <f t="shared" ref="D40:D54" si="9">D14</f>
        <v>321</v>
      </c>
      <c r="E40">
        <v>24</v>
      </c>
      <c r="F40" s="12">
        <v>404</v>
      </c>
      <c r="G40">
        <v>16431</v>
      </c>
      <c r="H40" s="12">
        <f t="shared" si="7"/>
        <v>56.062572000000003</v>
      </c>
      <c r="I40" s="12">
        <v>430.4</v>
      </c>
      <c r="L40">
        <f t="shared" si="8"/>
        <v>323</v>
      </c>
      <c r="M40" s="15">
        <f t="shared" si="6"/>
        <v>106.19508800000001</v>
      </c>
      <c r="N40" s="15">
        <f t="shared" si="6"/>
        <v>2628.4</v>
      </c>
      <c r="O40" s="4">
        <f>$AD$120</f>
        <v>1.0008325708705155</v>
      </c>
      <c r="P40" s="7">
        <f t="shared" si="5"/>
        <v>2630.5883292760632</v>
      </c>
      <c r="R40" s="15">
        <f>N37</f>
        <v>430.4</v>
      </c>
    </row>
    <row r="41" spans="4:18" x14ac:dyDescent="0.2">
      <c r="D41">
        <f t="shared" si="9"/>
        <v>322</v>
      </c>
      <c r="E41">
        <v>26</v>
      </c>
      <c r="F41" s="12">
        <v>2347</v>
      </c>
      <c r="G41">
        <v>55517</v>
      </c>
      <c r="H41" s="12">
        <f t="shared" si="7"/>
        <v>189.424004</v>
      </c>
      <c r="I41" s="12">
        <v>2712.1</v>
      </c>
      <c r="L41">
        <f t="shared" si="8"/>
        <v>324</v>
      </c>
      <c r="M41" s="15">
        <f t="shared" si="6"/>
        <v>415.76584800000001</v>
      </c>
      <c r="N41" s="15">
        <f t="shared" si="6"/>
        <v>4000.1</v>
      </c>
      <c r="O41" s="4">
        <f>$AD$121</f>
        <v>0.99144124267556832</v>
      </c>
      <c r="P41" s="7">
        <f t="shared" si="5"/>
        <v>3965.8641148265406</v>
      </c>
      <c r="R41" s="15">
        <f t="shared" ref="R41:R54" si="10">N38</f>
        <v>2712.1</v>
      </c>
    </row>
    <row r="42" spans="4:18" x14ac:dyDescent="0.2">
      <c r="D42">
        <f t="shared" si="9"/>
        <v>323</v>
      </c>
      <c r="E42">
        <v>27</v>
      </c>
      <c r="F42" s="12">
        <v>115</v>
      </c>
      <c r="G42">
        <v>17052</v>
      </c>
      <c r="H42" s="12">
        <f t="shared" si="7"/>
        <v>58.181424</v>
      </c>
      <c r="I42" s="12">
        <v>269.7</v>
      </c>
      <c r="L42">
        <f t="shared" si="8"/>
        <v>325</v>
      </c>
      <c r="M42" s="15">
        <f t="shared" si="6"/>
        <v>106.792188</v>
      </c>
      <c r="N42" s="15">
        <f t="shared" si="6"/>
        <v>483.8</v>
      </c>
      <c r="O42" s="4">
        <f>$AD$122</f>
        <v>1.0355216047246407</v>
      </c>
      <c r="P42" s="7">
        <f t="shared" si="5"/>
        <v>500.98535236578118</v>
      </c>
      <c r="R42" s="15">
        <f t="shared" si="10"/>
        <v>269.7</v>
      </c>
    </row>
    <row r="43" spans="4:18" x14ac:dyDescent="0.2">
      <c r="D43">
        <f t="shared" si="9"/>
        <v>324</v>
      </c>
      <c r="E43">
        <v>29</v>
      </c>
      <c r="F43" s="12">
        <v>3122</v>
      </c>
      <c r="G43">
        <v>31124</v>
      </c>
      <c r="H43" s="12">
        <f t="shared" si="7"/>
        <v>106.19508800000001</v>
      </c>
      <c r="I43" s="12">
        <v>2628.4</v>
      </c>
      <c r="L43">
        <f t="shared" si="8"/>
        <v>326</v>
      </c>
      <c r="M43" s="15">
        <f t="shared" si="6"/>
        <v>115.301716</v>
      </c>
      <c r="N43" s="15">
        <f t="shared" si="6"/>
        <v>2301.3000000000002</v>
      </c>
      <c r="O43" s="4">
        <f>$AD$123</f>
        <v>0.99993870938021057</v>
      </c>
      <c r="P43" s="7">
        <f t="shared" si="5"/>
        <v>2301.1589518966789</v>
      </c>
      <c r="R43" s="15">
        <f t="shared" si="10"/>
        <v>2628.4</v>
      </c>
    </row>
    <row r="44" spans="4:18" x14ac:dyDescent="0.2">
      <c r="D44">
        <f t="shared" si="9"/>
        <v>325</v>
      </c>
      <c r="E44">
        <v>28</v>
      </c>
      <c r="F44" s="12">
        <v>2862</v>
      </c>
      <c r="G44">
        <v>121854</v>
      </c>
      <c r="H44" s="12">
        <f t="shared" si="7"/>
        <v>415.76584800000001</v>
      </c>
      <c r="I44" s="12">
        <v>4000.1</v>
      </c>
      <c r="L44">
        <f t="shared" si="8"/>
        <v>327</v>
      </c>
      <c r="M44" s="15">
        <f t="shared" si="6"/>
        <v>509.077224</v>
      </c>
      <c r="N44" s="15">
        <f t="shared" si="6"/>
        <v>3301.8</v>
      </c>
      <c r="O44" s="4">
        <f>$AD$124</f>
        <v>1.010397468376462</v>
      </c>
      <c r="P44" s="7">
        <f t="shared" si="5"/>
        <v>3336.1303610854025</v>
      </c>
      <c r="R44" s="15">
        <f t="shared" si="10"/>
        <v>4000.1</v>
      </c>
    </row>
    <row r="45" spans="4:18" x14ac:dyDescent="0.2">
      <c r="D45">
        <f t="shared" si="9"/>
        <v>326</v>
      </c>
      <c r="E45">
        <v>30</v>
      </c>
      <c r="F45" s="12">
        <v>252</v>
      </c>
      <c r="G45">
        <v>31299</v>
      </c>
      <c r="H45" s="12">
        <f t="shared" si="7"/>
        <v>106.792188</v>
      </c>
      <c r="I45" s="12">
        <v>483.8</v>
      </c>
      <c r="L45">
        <f t="shared" si="8"/>
        <v>331</v>
      </c>
      <c r="M45" s="15">
        <f>H48</f>
        <v>105.60822400000001</v>
      </c>
      <c r="N45" s="15">
        <f>I48+$AJ$142*I49-$AJ$149*I48</f>
        <v>990.84299999999985</v>
      </c>
      <c r="O45" s="4">
        <f>$AD$125</f>
        <v>1.0050318572657224</v>
      </c>
      <c r="P45" s="7">
        <f t="shared" si="5"/>
        <v>995.82878054874004</v>
      </c>
      <c r="R45" s="15">
        <f t="shared" si="10"/>
        <v>483.8</v>
      </c>
    </row>
    <row r="46" spans="4:18" x14ac:dyDescent="0.2">
      <c r="D46">
        <f t="shared" si="9"/>
        <v>327</v>
      </c>
      <c r="E46">
        <v>32</v>
      </c>
      <c r="F46" s="12">
        <v>1000</v>
      </c>
      <c r="G46">
        <v>33793</v>
      </c>
      <c r="H46" s="12">
        <f t="shared" si="7"/>
        <v>115.301716</v>
      </c>
      <c r="I46" s="12">
        <v>2301.3000000000002</v>
      </c>
      <c r="L46">
        <f t="shared" si="8"/>
        <v>332</v>
      </c>
      <c r="M46" s="15">
        <f>0.9*H49</f>
        <v>102.810384</v>
      </c>
      <c r="N46" s="15">
        <f>I49-$AJ$142*I49-$AJ$140*I49-$AJ$141*I49+$AJ$146*I50</f>
        <v>543.21600000000001</v>
      </c>
      <c r="O46" s="4">
        <f>$AD$126</f>
        <v>0.99057294439314503</v>
      </c>
      <c r="P46" s="7">
        <f t="shared" si="5"/>
        <v>538.09507256146662</v>
      </c>
      <c r="R46" s="15">
        <f t="shared" si="10"/>
        <v>2301.3000000000002</v>
      </c>
    </row>
    <row r="47" spans="4:18" x14ac:dyDescent="0.2">
      <c r="D47">
        <f t="shared" si="9"/>
        <v>331</v>
      </c>
      <c r="E47">
        <v>33</v>
      </c>
      <c r="F47" s="12">
        <v>2622</v>
      </c>
      <c r="G47">
        <v>149202</v>
      </c>
      <c r="H47" s="12">
        <f t="shared" si="7"/>
        <v>509.077224</v>
      </c>
      <c r="I47" s="12">
        <v>3301.8</v>
      </c>
      <c r="L47">
        <f t="shared" si="8"/>
        <v>333</v>
      </c>
      <c r="M47">
        <f>0.1*H49+0.35*H51+0.5*H50</f>
        <v>73.931898399999994</v>
      </c>
      <c r="N47">
        <f>$AJ$140*I49+$AJ$153*I50+$AJ$151*I51</f>
        <v>244.61799999999999</v>
      </c>
      <c r="O47" s="4">
        <f>$AD$127</f>
        <v>1.0234677016554385</v>
      </c>
      <c r="P47" s="7">
        <f t="shared" si="5"/>
        <v>250.35862224355006</v>
      </c>
      <c r="R47" s="15">
        <f t="shared" si="10"/>
        <v>3301.8</v>
      </c>
    </row>
    <row r="48" spans="4:18" x14ac:dyDescent="0.2">
      <c r="D48">
        <f t="shared" si="9"/>
        <v>332</v>
      </c>
      <c r="E48">
        <v>34</v>
      </c>
      <c r="F48" s="12">
        <v>343</v>
      </c>
      <c r="G48">
        <v>30952</v>
      </c>
      <c r="H48" s="12">
        <f t="shared" si="7"/>
        <v>105.60822400000001</v>
      </c>
      <c r="I48" s="12">
        <v>938.3</v>
      </c>
      <c r="L48">
        <f t="shared" si="8"/>
        <v>334</v>
      </c>
      <c r="M48">
        <f>0.65*H51</f>
        <v>70.6413656</v>
      </c>
      <c r="N48">
        <f>(1-$AJ$150-$AJ$151)*I51</f>
        <v>350.81199999999995</v>
      </c>
      <c r="O48" s="4">
        <f>$AD$128</f>
        <v>0.8929284199379155</v>
      </c>
      <c r="P48" s="7">
        <f t="shared" si="5"/>
        <v>313.25000485525999</v>
      </c>
      <c r="R48" s="15">
        <f t="shared" si="10"/>
        <v>990.84299999999985</v>
      </c>
    </row>
    <row r="49" spans="4:31" x14ac:dyDescent="0.2">
      <c r="D49">
        <f t="shared" si="9"/>
        <v>333</v>
      </c>
      <c r="E49">
        <v>35</v>
      </c>
      <c r="F49" s="12">
        <v>276</v>
      </c>
      <c r="G49">
        <v>33480</v>
      </c>
      <c r="H49" s="12">
        <f t="shared" si="7"/>
        <v>114.23376</v>
      </c>
      <c r="I49" s="12">
        <v>656.8</v>
      </c>
      <c r="L49">
        <f t="shared" si="8"/>
        <v>335</v>
      </c>
      <c r="M49" s="15">
        <f>H52</f>
        <v>127.20959599999999</v>
      </c>
      <c r="N49" s="15">
        <f>I52+$AJ$149*I48+P$141*I49+$AJ$150*I51</f>
        <v>858.21699999999998</v>
      </c>
      <c r="O49" s="4">
        <f>$AD$129</f>
        <v>1.0499456144576871</v>
      </c>
      <c r="P49" s="7">
        <f t="shared" si="5"/>
        <v>901.08117540303283</v>
      </c>
      <c r="R49" s="15">
        <f t="shared" si="10"/>
        <v>543.21600000000001</v>
      </c>
    </row>
    <row r="50" spans="4:31" x14ac:dyDescent="0.2">
      <c r="D50">
        <f t="shared" si="9"/>
        <v>334</v>
      </c>
      <c r="E50">
        <v>38</v>
      </c>
      <c r="F50" s="12">
        <v>113</v>
      </c>
      <c r="G50">
        <v>14344</v>
      </c>
      <c r="H50" s="12">
        <f t="shared" si="7"/>
        <v>48.941727999999998</v>
      </c>
      <c r="I50" s="12">
        <v>178.7</v>
      </c>
      <c r="L50">
        <f t="shared" si="8"/>
        <v>336</v>
      </c>
      <c r="M50" s="15">
        <f>H53</f>
        <v>19.281212</v>
      </c>
      <c r="N50" s="15">
        <f>I53</f>
        <v>137.19999999999999</v>
      </c>
      <c r="O50" s="4">
        <f>$AD$130</f>
        <v>1.1125687426632083</v>
      </c>
      <c r="P50" s="7">
        <f t="shared" si="5"/>
        <v>152.64443149339215</v>
      </c>
      <c r="R50" s="15">
        <f t="shared" si="10"/>
        <v>244.61799999999999</v>
      </c>
    </row>
    <row r="51" spans="4:31" ht="13.5" thickBot="1" x14ac:dyDescent="0.25">
      <c r="D51">
        <f t="shared" si="9"/>
        <v>335</v>
      </c>
      <c r="E51">
        <v>36</v>
      </c>
      <c r="F51">
        <v>215</v>
      </c>
      <c r="G51">
        <v>31852</v>
      </c>
      <c r="H51" s="12">
        <f t="shared" si="7"/>
        <v>108.679024</v>
      </c>
      <c r="I51" s="12">
        <v>515.9</v>
      </c>
      <c r="L51">
        <f t="shared" si="8"/>
        <v>337</v>
      </c>
      <c r="M51">
        <f>H54+0.5*H50</f>
        <v>38.743259999999999</v>
      </c>
      <c r="N51" s="1">
        <f>I54+$AJ$147*I50</f>
        <v>165.65800000000002</v>
      </c>
      <c r="O51" s="26">
        <f>$AD$131</f>
        <v>0.93664838905802084</v>
      </c>
      <c r="P51" s="27">
        <f t="shared" si="5"/>
        <v>155.16329883457362</v>
      </c>
      <c r="R51" s="15">
        <f t="shared" si="10"/>
        <v>350.81199999999995</v>
      </c>
    </row>
    <row r="52" spans="4:31" x14ac:dyDescent="0.2">
      <c r="D52">
        <f t="shared" si="9"/>
        <v>336</v>
      </c>
      <c r="E52">
        <v>37</v>
      </c>
      <c r="F52" s="12">
        <v>349</v>
      </c>
      <c r="G52">
        <v>37283</v>
      </c>
      <c r="H52" s="12">
        <f t="shared" si="7"/>
        <v>127.20959599999999</v>
      </c>
      <c r="I52" s="12">
        <v>771.9</v>
      </c>
      <c r="M52" s="15">
        <f>SUM(M34:M51)</f>
        <v>2398.2095000000004</v>
      </c>
      <c r="N52" s="15">
        <f>SUM(N34:N51)</f>
        <v>22629.164000000001</v>
      </c>
      <c r="O52" s="15"/>
      <c r="P52" s="15">
        <f>SUM(P34:P51)</f>
        <v>22537.848477375224</v>
      </c>
      <c r="R52" s="15">
        <f t="shared" si="10"/>
        <v>858.21699999999998</v>
      </c>
    </row>
    <row r="53" spans="4:31" x14ac:dyDescent="0.2">
      <c r="D53">
        <f t="shared" si="9"/>
        <v>337</v>
      </c>
      <c r="E53">
        <v>25</v>
      </c>
      <c r="F53" s="12">
        <v>63</v>
      </c>
      <c r="G53">
        <v>5651</v>
      </c>
      <c r="H53" s="12">
        <f t="shared" si="7"/>
        <v>19.281212</v>
      </c>
      <c r="I53" s="12">
        <v>137.19999999999999</v>
      </c>
      <c r="R53" s="15">
        <f t="shared" si="10"/>
        <v>137.19999999999999</v>
      </c>
    </row>
    <row r="54" spans="4:31" ht="13.5" thickBot="1" x14ac:dyDescent="0.25">
      <c r="D54">
        <f t="shared" si="9"/>
        <v>339</v>
      </c>
      <c r="E54">
        <v>39</v>
      </c>
      <c r="F54" s="12">
        <v>41</v>
      </c>
      <c r="G54">
        <v>4183</v>
      </c>
      <c r="H54" s="12">
        <f t="shared" si="7"/>
        <v>14.272395999999999</v>
      </c>
      <c r="I54" s="12">
        <v>104.9</v>
      </c>
      <c r="R54" s="99">
        <f t="shared" si="10"/>
        <v>165.65800000000002</v>
      </c>
    </row>
    <row r="55" spans="4:31" x14ac:dyDescent="0.2">
      <c r="F55" s="15">
        <f>SUM(F34:F54)</f>
        <v>15489</v>
      </c>
      <c r="G55" s="15">
        <f>SUM(G34:G54)</f>
        <v>702875</v>
      </c>
      <c r="H55" s="15">
        <f>SUM(H34:H54)</f>
        <v>2398.2094999999999</v>
      </c>
      <c r="I55" s="15">
        <f>SUM(I34:I54)</f>
        <v>22642.300000000003</v>
      </c>
      <c r="R55" s="100">
        <f>SUM(R34:R54)</f>
        <v>22629.164000000001</v>
      </c>
    </row>
    <row r="58" spans="4:31" x14ac:dyDescent="0.2">
      <c r="D58">
        <v>1987</v>
      </c>
      <c r="E58" t="s">
        <v>102</v>
      </c>
      <c r="F58" t="s">
        <v>41</v>
      </c>
      <c r="L58" t="s">
        <v>39</v>
      </c>
    </row>
    <row r="59" spans="4:31" ht="77.25" thickBot="1" x14ac:dyDescent="0.25">
      <c r="F59" s="17" t="s">
        <v>80</v>
      </c>
      <c r="G59" s="17" t="s">
        <v>80</v>
      </c>
      <c r="H59" s="17" t="s">
        <v>80</v>
      </c>
      <c r="I59" s="17" t="s">
        <v>103</v>
      </c>
      <c r="J59" s="13" t="s">
        <v>37</v>
      </c>
      <c r="M59" s="17" t="s">
        <v>35</v>
      </c>
      <c r="N59" s="24" t="s">
        <v>90</v>
      </c>
      <c r="O59" s="25" t="s">
        <v>63</v>
      </c>
      <c r="P59" s="25" t="s">
        <v>62</v>
      </c>
      <c r="R59" s="24" t="s">
        <v>342</v>
      </c>
    </row>
    <row r="60" spans="4:31" x14ac:dyDescent="0.2">
      <c r="D60" s="2">
        <v>311</v>
      </c>
      <c r="E60">
        <v>20</v>
      </c>
      <c r="F60" s="12">
        <v>953</v>
      </c>
      <c r="G60" s="12">
        <v>49536</v>
      </c>
      <c r="H60" s="12">
        <f>G60*3.412*0.001</f>
        <v>169.01683199999999</v>
      </c>
      <c r="I60" s="12">
        <v>2087</v>
      </c>
      <c r="J60" s="14" t="e">
        <f>F60-G60-#REF!-#REF!-#REF!</f>
        <v>#REF!</v>
      </c>
      <c r="L60" t="s">
        <v>12</v>
      </c>
      <c r="M60" s="15">
        <f>H60+H61</f>
        <v>172.43565599999999</v>
      </c>
      <c r="N60" s="15">
        <f>I60+I61</f>
        <v>2143.1</v>
      </c>
      <c r="O60" s="4">
        <f>$AD$114</f>
        <v>1.0063510216507281</v>
      </c>
      <c r="P60" s="7">
        <f t="shared" ref="P60:P77" si="11">O60*N60</f>
        <v>2156.7108744996754</v>
      </c>
      <c r="R60">
        <f>I60-0.055*I60</f>
        <v>1972.2149999999999</v>
      </c>
    </row>
    <row r="61" spans="4:31" x14ac:dyDescent="0.2">
      <c r="D61" s="2">
        <v>312</v>
      </c>
      <c r="E61">
        <v>21</v>
      </c>
      <c r="F61" s="12">
        <v>24</v>
      </c>
      <c r="G61" s="12">
        <v>1002</v>
      </c>
      <c r="H61" s="12">
        <f>G61*3.412*0.001</f>
        <v>3.4188240000000003</v>
      </c>
      <c r="I61" s="12">
        <v>56.1</v>
      </c>
      <c r="J61" s="14" t="e">
        <f>F61-G61-#REF!-#REF!-#REF!</f>
        <v>#REF!</v>
      </c>
      <c r="L61" t="s">
        <v>13</v>
      </c>
      <c r="M61" s="15">
        <f>H62</f>
        <v>100.763184</v>
      </c>
      <c r="N61" s="15">
        <f>I62+I63</f>
        <v>607.20000000000005</v>
      </c>
      <c r="O61" s="4">
        <f>$AD$115</f>
        <v>0.97092854611113166</v>
      </c>
      <c r="P61" s="7">
        <f t="shared" si="11"/>
        <v>589.54781319867914</v>
      </c>
      <c r="R61">
        <f>0.055*I60+I61</f>
        <v>170.88499999999999</v>
      </c>
    </row>
    <row r="62" spans="4:31" x14ac:dyDescent="0.2">
      <c r="D62" s="2">
        <v>313</v>
      </c>
      <c r="E62">
        <v>22</v>
      </c>
      <c r="F62" s="12">
        <v>273</v>
      </c>
      <c r="G62" s="12">
        <v>29532</v>
      </c>
      <c r="H62" s="12">
        <f>G62*3.412*0.001</f>
        <v>100.763184</v>
      </c>
      <c r="I62" s="12">
        <v>607.20000000000005</v>
      </c>
      <c r="J62" s="14" t="e">
        <f>F62-H62-#REF!-#REF!-#REF!</f>
        <v>#REF!</v>
      </c>
      <c r="L62" t="s">
        <v>14</v>
      </c>
      <c r="M62" s="15">
        <f>H64+H65</f>
        <v>21.973279999999999</v>
      </c>
      <c r="N62" s="15">
        <f>I64+I65</f>
        <v>170.9</v>
      </c>
      <c r="O62" s="4">
        <f>$AD$116</f>
        <v>1.0862977017311064</v>
      </c>
      <c r="P62" s="7">
        <f t="shared" si="11"/>
        <v>185.6482772258461</v>
      </c>
      <c r="R62">
        <f>0.7*I62</f>
        <v>425.04</v>
      </c>
    </row>
    <row r="63" spans="4:31" x14ac:dyDescent="0.2">
      <c r="D63">
        <v>314</v>
      </c>
      <c r="J63" s="3"/>
      <c r="L63">
        <v>321</v>
      </c>
      <c r="M63" s="15">
        <f t="shared" ref="M63:N70" si="12">H66</f>
        <v>60.999735999999999</v>
      </c>
      <c r="N63" s="15">
        <f t="shared" si="12"/>
        <v>440.2</v>
      </c>
      <c r="O63" s="4">
        <f>$AD$117</f>
        <v>0.86970227612053164</v>
      </c>
      <c r="P63" s="7">
        <f t="shared" si="11"/>
        <v>382.84294194825804</v>
      </c>
      <c r="R63">
        <f>0.3*I62</f>
        <v>182.16</v>
      </c>
      <c r="AE63" s="20"/>
    </row>
    <row r="64" spans="4:31" x14ac:dyDescent="0.2">
      <c r="D64">
        <v>315</v>
      </c>
      <c r="E64">
        <v>23</v>
      </c>
      <c r="F64">
        <v>44</v>
      </c>
      <c r="G64">
        <v>5645</v>
      </c>
      <c r="H64" s="12">
        <f t="shared" ref="H64:H80" si="13">G64*3.412*0.001</f>
        <v>19.260739999999998</v>
      </c>
      <c r="I64" s="12">
        <v>134.80000000000001</v>
      </c>
      <c r="J64" s="14" t="e">
        <f>F64-H64-#REF!-#REF!-#REF!</f>
        <v>#REF!</v>
      </c>
      <c r="L64">
        <f t="shared" ref="L64:L77" si="14">D67</f>
        <v>322</v>
      </c>
      <c r="M64" s="15">
        <f t="shared" si="12"/>
        <v>200.95315200000002</v>
      </c>
      <c r="N64" s="15">
        <f t="shared" si="12"/>
        <v>2574.6</v>
      </c>
      <c r="O64" s="4">
        <f>$AD$118</f>
        <v>0.99832231546260719</v>
      </c>
      <c r="P64" s="7">
        <f t="shared" si="11"/>
        <v>2570.2806333900285</v>
      </c>
      <c r="R64" s="15">
        <f>I64</f>
        <v>134.80000000000001</v>
      </c>
    </row>
    <row r="65" spans="4:18" x14ac:dyDescent="0.2">
      <c r="D65">
        <v>316</v>
      </c>
      <c r="E65">
        <v>31</v>
      </c>
      <c r="F65" s="12">
        <v>12</v>
      </c>
      <c r="G65">
        <v>795</v>
      </c>
      <c r="H65" s="12">
        <f t="shared" si="13"/>
        <v>2.7125400000000002</v>
      </c>
      <c r="I65" s="12">
        <v>36.1</v>
      </c>
      <c r="L65">
        <f t="shared" si="14"/>
        <v>323</v>
      </c>
      <c r="M65" s="15">
        <f t="shared" si="12"/>
        <v>53.326148000000003</v>
      </c>
      <c r="N65" s="15">
        <f t="shared" si="12"/>
        <v>272.7</v>
      </c>
      <c r="O65" s="4">
        <f>$AD$119</f>
        <v>0.70557464070883003</v>
      </c>
      <c r="P65" s="7">
        <f t="shared" si="11"/>
        <v>192.41020452129794</v>
      </c>
      <c r="R65" s="15">
        <f>I65</f>
        <v>36.1</v>
      </c>
    </row>
    <row r="66" spans="4:18" x14ac:dyDescent="0.2">
      <c r="D66">
        <f t="shared" ref="D66:D80" si="15">D14</f>
        <v>321</v>
      </c>
      <c r="E66">
        <v>24</v>
      </c>
      <c r="F66" s="12">
        <v>423</v>
      </c>
      <c r="G66">
        <v>17878</v>
      </c>
      <c r="H66" s="12">
        <f t="shared" si="13"/>
        <v>60.999735999999999</v>
      </c>
      <c r="I66" s="12">
        <v>440.2</v>
      </c>
      <c r="L66">
        <f t="shared" si="14"/>
        <v>324</v>
      </c>
      <c r="M66" s="15">
        <f t="shared" si="12"/>
        <v>105.028184</v>
      </c>
      <c r="N66" s="15">
        <f t="shared" si="12"/>
        <v>2003.6</v>
      </c>
      <c r="O66" s="4">
        <f>$AD$120</f>
        <v>1.0008325708705155</v>
      </c>
      <c r="P66" s="7">
        <f t="shared" si="11"/>
        <v>2005.2681389961647</v>
      </c>
      <c r="R66" s="15">
        <f>N63</f>
        <v>440.2</v>
      </c>
    </row>
    <row r="67" spans="4:18" x14ac:dyDescent="0.2">
      <c r="D67">
        <f t="shared" si="15"/>
        <v>322</v>
      </c>
      <c r="E67">
        <v>26</v>
      </c>
      <c r="F67" s="12">
        <v>2472</v>
      </c>
      <c r="G67">
        <v>58896</v>
      </c>
      <c r="H67" s="12">
        <f t="shared" si="13"/>
        <v>200.95315200000002</v>
      </c>
      <c r="I67" s="12">
        <v>2574.6</v>
      </c>
      <c r="L67">
        <f t="shared" si="14"/>
        <v>325</v>
      </c>
      <c r="M67" s="15">
        <f t="shared" si="12"/>
        <v>440.46531599999997</v>
      </c>
      <c r="N67" s="15">
        <f t="shared" si="12"/>
        <v>4135</v>
      </c>
      <c r="O67" s="4">
        <f>$AD$121</f>
        <v>0.99144124267556832</v>
      </c>
      <c r="P67" s="7">
        <f t="shared" si="11"/>
        <v>4099.6095384634755</v>
      </c>
      <c r="R67" s="15">
        <f t="shared" ref="R67:R80" si="16">N64</f>
        <v>2574.6</v>
      </c>
    </row>
    <row r="68" spans="4:18" x14ac:dyDescent="0.2">
      <c r="D68">
        <f t="shared" si="15"/>
        <v>323</v>
      </c>
      <c r="E68">
        <v>27</v>
      </c>
      <c r="F68" s="12">
        <v>108</v>
      </c>
      <c r="G68">
        <v>15629</v>
      </c>
      <c r="H68" s="12">
        <f t="shared" si="13"/>
        <v>53.326148000000003</v>
      </c>
      <c r="I68" s="12">
        <v>272.7</v>
      </c>
      <c r="L68">
        <f t="shared" si="14"/>
        <v>326</v>
      </c>
      <c r="M68" s="15">
        <f t="shared" si="12"/>
        <v>115.69409599999999</v>
      </c>
      <c r="N68" s="15">
        <f t="shared" si="12"/>
        <v>514.20000000000005</v>
      </c>
      <c r="O68" s="4">
        <f>$AD$122</f>
        <v>1.0355216047246407</v>
      </c>
      <c r="P68" s="7">
        <f t="shared" si="11"/>
        <v>532.46520914941027</v>
      </c>
      <c r="R68" s="15">
        <f t="shared" si="16"/>
        <v>272.7</v>
      </c>
    </row>
    <row r="69" spans="4:18" x14ac:dyDescent="0.2">
      <c r="D69">
        <f t="shared" si="15"/>
        <v>324</v>
      </c>
      <c r="E69">
        <v>29</v>
      </c>
      <c r="F69" s="12">
        <v>2987</v>
      </c>
      <c r="G69">
        <v>30782</v>
      </c>
      <c r="H69" s="12">
        <f t="shared" si="13"/>
        <v>105.028184</v>
      </c>
      <c r="I69" s="12">
        <v>2003.6</v>
      </c>
      <c r="L69">
        <f t="shared" si="14"/>
        <v>327</v>
      </c>
      <c r="M69" s="15">
        <f t="shared" si="12"/>
        <v>105.13736800000001</v>
      </c>
      <c r="N69" s="15">
        <f t="shared" si="12"/>
        <v>2071</v>
      </c>
      <c r="O69" s="4">
        <f>$AD$123</f>
        <v>0.99993870938021057</v>
      </c>
      <c r="P69" s="7">
        <f t="shared" si="11"/>
        <v>2070.8730671264161</v>
      </c>
      <c r="R69" s="15">
        <f t="shared" si="16"/>
        <v>2003.6</v>
      </c>
    </row>
    <row r="70" spans="4:18" x14ac:dyDescent="0.2">
      <c r="D70">
        <f t="shared" si="15"/>
        <v>325</v>
      </c>
      <c r="E70">
        <v>28</v>
      </c>
      <c r="F70" s="12">
        <v>3040</v>
      </c>
      <c r="G70">
        <v>129093</v>
      </c>
      <c r="H70" s="12">
        <f t="shared" si="13"/>
        <v>440.46531599999997</v>
      </c>
      <c r="I70" s="12">
        <v>4135</v>
      </c>
      <c r="L70">
        <f t="shared" si="14"/>
        <v>331</v>
      </c>
      <c r="M70" s="15">
        <f t="shared" si="12"/>
        <v>499.09371199999998</v>
      </c>
      <c r="N70" s="15">
        <f t="shared" si="12"/>
        <v>2857.6</v>
      </c>
      <c r="O70" s="4">
        <f>$AD$124</f>
        <v>1.010397468376462</v>
      </c>
      <c r="P70" s="7">
        <f t="shared" si="11"/>
        <v>2887.3118056325779</v>
      </c>
      <c r="R70" s="15">
        <f t="shared" si="16"/>
        <v>4135</v>
      </c>
    </row>
    <row r="71" spans="4:18" x14ac:dyDescent="0.2">
      <c r="D71">
        <f t="shared" si="15"/>
        <v>326</v>
      </c>
      <c r="E71">
        <v>30</v>
      </c>
      <c r="F71" s="12">
        <v>237</v>
      </c>
      <c r="G71">
        <v>33908</v>
      </c>
      <c r="H71" s="12">
        <f t="shared" si="13"/>
        <v>115.69409599999999</v>
      </c>
      <c r="I71" s="12">
        <v>514.20000000000005</v>
      </c>
      <c r="L71">
        <f t="shared" si="14"/>
        <v>332</v>
      </c>
      <c r="M71" s="15">
        <f>H74</f>
        <v>101.582064</v>
      </c>
      <c r="N71" s="15">
        <f>I74+$AL$142*I75-$AL$149*I74</f>
        <v>952.60770000000002</v>
      </c>
      <c r="O71" s="4">
        <f>$AD$125</f>
        <v>1.0050318572657224</v>
      </c>
      <c r="P71" s="7">
        <f t="shared" si="11"/>
        <v>957.40108597662811</v>
      </c>
      <c r="R71" s="15">
        <f t="shared" si="16"/>
        <v>514.20000000000005</v>
      </c>
    </row>
    <row r="72" spans="4:18" x14ac:dyDescent="0.2">
      <c r="D72">
        <f t="shared" si="15"/>
        <v>327</v>
      </c>
      <c r="E72">
        <v>32</v>
      </c>
      <c r="F72" s="12">
        <v>894</v>
      </c>
      <c r="G72">
        <v>30814</v>
      </c>
      <c r="H72" s="12">
        <f t="shared" si="13"/>
        <v>105.13736800000001</v>
      </c>
      <c r="I72" s="12">
        <v>2071</v>
      </c>
      <c r="L72">
        <f t="shared" si="14"/>
        <v>333</v>
      </c>
      <c r="M72" s="15">
        <f>0.9*H75</f>
        <v>90.539467200000004</v>
      </c>
      <c r="N72" s="15">
        <f>I75-$AL$142*I75-$AL$140*I75-$AL$141*I75+$AL$146*I76</f>
        <v>482.03519999999997</v>
      </c>
      <c r="O72" s="4">
        <f>$AD$126</f>
        <v>0.99057294439314503</v>
      </c>
      <c r="P72" s="7">
        <f t="shared" si="11"/>
        <v>477.49102736513851</v>
      </c>
      <c r="R72" s="15">
        <f t="shared" si="16"/>
        <v>2071</v>
      </c>
    </row>
    <row r="73" spans="4:18" x14ac:dyDescent="0.2">
      <c r="D73">
        <f t="shared" si="15"/>
        <v>331</v>
      </c>
      <c r="E73">
        <v>33</v>
      </c>
      <c r="F73" s="12">
        <v>2292</v>
      </c>
      <c r="G73">
        <v>146276</v>
      </c>
      <c r="H73" s="12">
        <f t="shared" si="13"/>
        <v>499.09371199999998</v>
      </c>
      <c r="I73" s="12">
        <v>2857.6</v>
      </c>
      <c r="L73">
        <f t="shared" si="14"/>
        <v>334</v>
      </c>
      <c r="M73" s="7">
        <f>0.1*H75+0.35*H77+0.5*H76</f>
        <v>66.979265999999996</v>
      </c>
      <c r="N73" s="7">
        <f>$AL$140*I75+$AL$153*I76+$AL$151*I77</f>
        <v>236.92480000000003</v>
      </c>
      <c r="O73" s="4">
        <f>$AD$127</f>
        <v>1.0234677016554385</v>
      </c>
      <c r="P73" s="7">
        <f t="shared" si="11"/>
        <v>242.48488052117449</v>
      </c>
      <c r="R73" s="15">
        <f t="shared" si="16"/>
        <v>2857.6</v>
      </c>
    </row>
    <row r="74" spans="4:18" x14ac:dyDescent="0.2">
      <c r="D74">
        <f t="shared" si="15"/>
        <v>332</v>
      </c>
      <c r="E74">
        <v>34</v>
      </c>
      <c r="F74" s="12">
        <v>305</v>
      </c>
      <c r="G74">
        <v>29772</v>
      </c>
      <c r="H74" s="12">
        <f t="shared" si="13"/>
        <v>101.582064</v>
      </c>
      <c r="I74" s="12">
        <v>900.1</v>
      </c>
      <c r="L74">
        <f t="shared" si="14"/>
        <v>335</v>
      </c>
      <c r="M74" s="7">
        <f>0.65*H77</f>
        <v>66.525128800000005</v>
      </c>
      <c r="N74" s="7">
        <f>(1-$AL$150-$AL$151)*I77</f>
        <v>290.67149999999998</v>
      </c>
      <c r="O74" s="4">
        <f>$AD$128</f>
        <v>0.8929284199379155</v>
      </c>
      <c r="P74" s="7">
        <f t="shared" si="11"/>
        <v>259.54884321598377</v>
      </c>
      <c r="R74" s="15">
        <f t="shared" si="16"/>
        <v>952.60770000000002</v>
      </c>
    </row>
    <row r="75" spans="4:18" x14ac:dyDescent="0.2">
      <c r="D75">
        <f t="shared" si="15"/>
        <v>333</v>
      </c>
      <c r="E75">
        <v>35</v>
      </c>
      <c r="F75" s="12">
        <v>235</v>
      </c>
      <c r="G75">
        <v>29484</v>
      </c>
      <c r="H75" s="12">
        <f t="shared" si="13"/>
        <v>100.599408</v>
      </c>
      <c r="I75" s="12">
        <v>574.70000000000005</v>
      </c>
      <c r="L75">
        <f t="shared" si="14"/>
        <v>336</v>
      </c>
      <c r="M75" s="7">
        <f>H78</f>
        <v>118.468052</v>
      </c>
      <c r="N75" s="7">
        <f>I78+$AL$149*I74+P$141*I75+$AL$150*I77</f>
        <v>793.69100000000014</v>
      </c>
      <c r="O75" s="4">
        <f>$AD$129</f>
        <v>1.0499456144576871</v>
      </c>
      <c r="P75" s="7">
        <f t="shared" si="11"/>
        <v>833.33238468453624</v>
      </c>
      <c r="R75" s="15">
        <f t="shared" si="16"/>
        <v>482.03519999999997</v>
      </c>
    </row>
    <row r="76" spans="4:18" x14ac:dyDescent="0.2">
      <c r="D76">
        <f t="shared" si="15"/>
        <v>334</v>
      </c>
      <c r="E76">
        <v>38</v>
      </c>
      <c r="F76" s="12">
        <v>98</v>
      </c>
      <c r="G76">
        <v>12367</v>
      </c>
      <c r="H76" s="12">
        <f t="shared" si="13"/>
        <v>42.196204000000002</v>
      </c>
      <c r="I76" s="12">
        <v>213.7</v>
      </c>
      <c r="L76">
        <f t="shared" si="14"/>
        <v>337</v>
      </c>
      <c r="M76" s="7">
        <f>H79</f>
        <v>16.76998</v>
      </c>
      <c r="N76" s="7">
        <f>I79</f>
        <v>138.69999999999999</v>
      </c>
      <c r="O76" s="4">
        <f>$AD$130</f>
        <v>1.1125687426632083</v>
      </c>
      <c r="P76" s="7">
        <f t="shared" si="11"/>
        <v>154.31328460738698</v>
      </c>
      <c r="R76" s="15">
        <f t="shared" si="16"/>
        <v>236.92480000000003</v>
      </c>
    </row>
    <row r="77" spans="4:18" ht="13.5" thickBot="1" x14ac:dyDescent="0.25">
      <c r="D77">
        <f t="shared" si="15"/>
        <v>335</v>
      </c>
      <c r="E77">
        <v>36</v>
      </c>
      <c r="F77">
        <v>196</v>
      </c>
      <c r="G77">
        <v>29996</v>
      </c>
      <c r="H77" s="12">
        <f t="shared" si="13"/>
        <v>102.346352</v>
      </c>
      <c r="I77" s="12">
        <v>437.1</v>
      </c>
      <c r="L77">
        <f t="shared" si="14"/>
        <v>339</v>
      </c>
      <c r="M77" s="7">
        <f>H80+0.5*H76</f>
        <v>33.589433999999997</v>
      </c>
      <c r="N77" s="27">
        <f>I80+$AL$147*I76</f>
        <v>176.2758</v>
      </c>
      <c r="O77" s="26">
        <f>$AD$131</f>
        <v>0.93664838905802084</v>
      </c>
      <c r="P77" s="27">
        <f t="shared" si="11"/>
        <v>165.10844409991387</v>
      </c>
      <c r="R77" s="15">
        <f t="shared" si="16"/>
        <v>290.67149999999998</v>
      </c>
    </row>
    <row r="78" spans="4:18" x14ac:dyDescent="0.2">
      <c r="D78">
        <f t="shared" si="15"/>
        <v>336</v>
      </c>
      <c r="E78">
        <v>37</v>
      </c>
      <c r="F78" s="12">
        <v>333</v>
      </c>
      <c r="G78">
        <v>34721</v>
      </c>
      <c r="H78" s="12">
        <f t="shared" si="13"/>
        <v>118.468052</v>
      </c>
      <c r="I78" s="12">
        <v>713.2</v>
      </c>
      <c r="M78" s="15">
        <f>SUM(M60:M77)</f>
        <v>2370.3232239999998</v>
      </c>
      <c r="N78" s="15">
        <f>SUM(N60:N77)</f>
        <v>20861.005999999998</v>
      </c>
      <c r="O78" s="15"/>
      <c r="P78" s="15">
        <f>SUM(P60:P77)</f>
        <v>20762.648454622587</v>
      </c>
      <c r="R78" s="15">
        <f t="shared" si="16"/>
        <v>793.69100000000014</v>
      </c>
    </row>
    <row r="79" spans="4:18" x14ac:dyDescent="0.2">
      <c r="D79">
        <f t="shared" si="15"/>
        <v>337</v>
      </c>
      <c r="E79">
        <v>25</v>
      </c>
      <c r="F79" s="12">
        <v>67</v>
      </c>
      <c r="G79">
        <v>4915</v>
      </c>
      <c r="H79" s="12">
        <f t="shared" si="13"/>
        <v>16.76998</v>
      </c>
      <c r="I79" s="12">
        <v>138.69999999999999</v>
      </c>
      <c r="R79" s="15">
        <f t="shared" si="16"/>
        <v>138.69999999999999</v>
      </c>
    </row>
    <row r="80" spans="4:18" ht="13.5" thickBot="1" x14ac:dyDescent="0.25">
      <c r="D80">
        <f t="shared" si="15"/>
        <v>339</v>
      </c>
      <c r="E80">
        <v>39</v>
      </c>
      <c r="F80" s="12">
        <v>31</v>
      </c>
      <c r="G80">
        <v>3661</v>
      </c>
      <c r="H80" s="12">
        <f t="shared" si="13"/>
        <v>12.491332</v>
      </c>
      <c r="I80" s="12">
        <v>104.9</v>
      </c>
      <c r="R80" s="99">
        <f t="shared" si="16"/>
        <v>176.2758</v>
      </c>
    </row>
    <row r="81" spans="4:21" x14ac:dyDescent="0.2">
      <c r="F81" s="15">
        <f>SUM(F60:F80)</f>
        <v>15024</v>
      </c>
      <c r="G81" s="15">
        <f>SUM(G60:G80)</f>
        <v>694702</v>
      </c>
      <c r="H81" s="15">
        <f>SUM(H60:H80)</f>
        <v>2370.3232239999998</v>
      </c>
      <c r="I81" s="15">
        <f>SUM(I60:I80)</f>
        <v>20872.5</v>
      </c>
      <c r="R81" s="100">
        <f>SUM(R60:R80)</f>
        <v>20861.005999999998</v>
      </c>
    </row>
    <row r="84" spans="4:21" x14ac:dyDescent="0.2">
      <c r="D84">
        <v>1988</v>
      </c>
      <c r="E84" t="s">
        <v>102</v>
      </c>
      <c r="F84" t="s">
        <v>45</v>
      </c>
      <c r="L84" t="s">
        <v>39</v>
      </c>
    </row>
    <row r="85" spans="4:21" ht="77.25" thickBot="1" x14ac:dyDescent="0.25">
      <c r="F85" s="17" t="s">
        <v>80</v>
      </c>
      <c r="G85" s="17" t="s">
        <v>80</v>
      </c>
      <c r="H85" s="17" t="s">
        <v>80</v>
      </c>
      <c r="I85" s="17" t="s">
        <v>103</v>
      </c>
      <c r="J85" s="13" t="s">
        <v>37</v>
      </c>
      <c r="M85" s="17" t="s">
        <v>80</v>
      </c>
      <c r="N85" s="24" t="s">
        <v>78</v>
      </c>
      <c r="O85" s="25" t="s">
        <v>63</v>
      </c>
      <c r="P85" s="25" t="s">
        <v>62</v>
      </c>
      <c r="R85" s="24" t="s">
        <v>342</v>
      </c>
    </row>
    <row r="86" spans="4:21" ht="16.5" customHeight="1" x14ac:dyDescent="0.2">
      <c r="D86" s="2">
        <v>311</v>
      </c>
      <c r="E86">
        <v>20</v>
      </c>
      <c r="F86" s="12">
        <v>1183</v>
      </c>
      <c r="G86" s="12">
        <v>58004</v>
      </c>
      <c r="H86" s="12">
        <f>G86*3.412*0.001</f>
        <v>197.909648</v>
      </c>
      <c r="I86" s="12">
        <v>2091.5</v>
      </c>
      <c r="J86" s="14" t="e">
        <f>F86-G86-#REF!-#REF!-#REF!</f>
        <v>#REF!</v>
      </c>
      <c r="L86" t="s">
        <v>12</v>
      </c>
      <c r="M86" s="15">
        <f>H86+H87</f>
        <v>200.78255200000001</v>
      </c>
      <c r="N86" s="15">
        <f>I86+I87</f>
        <v>2143</v>
      </c>
      <c r="O86" s="4">
        <f>$AD$114</f>
        <v>1.0063510216507281</v>
      </c>
      <c r="P86" s="7">
        <f t="shared" ref="P86:P103" si="17">O86*N86</f>
        <v>2156.6102393975102</v>
      </c>
      <c r="R86">
        <f>I86-0.055*I86</f>
        <v>1976.4675</v>
      </c>
      <c r="T86" s="18">
        <v>1879200</v>
      </c>
      <c r="U86" s="52" t="s">
        <v>345</v>
      </c>
    </row>
    <row r="87" spans="4:21" x14ac:dyDescent="0.2">
      <c r="D87" s="2">
        <v>312</v>
      </c>
      <c r="E87">
        <v>21</v>
      </c>
      <c r="F87" s="14">
        <v>20</v>
      </c>
      <c r="G87" s="12">
        <v>842</v>
      </c>
      <c r="H87" s="12">
        <f>G87*3.412*0.001</f>
        <v>2.8729040000000001</v>
      </c>
      <c r="I87" s="12">
        <v>51.5</v>
      </c>
      <c r="J87" s="14" t="e">
        <f>F87-G87-#REF!-#REF!-#REF!</f>
        <v>#REF!</v>
      </c>
      <c r="L87" t="s">
        <v>13</v>
      </c>
      <c r="M87" s="15">
        <f>H88</f>
        <v>111.27896799999999</v>
      </c>
      <c r="N87" s="15">
        <f>I88+I89</f>
        <v>582.79999999999995</v>
      </c>
      <c r="O87" s="4">
        <f>$AD$115</f>
        <v>0.97092854611113166</v>
      </c>
      <c r="P87" s="7">
        <f t="shared" si="17"/>
        <v>565.85715667356749</v>
      </c>
      <c r="R87">
        <f>0.055*I86+I87</f>
        <v>166.5325</v>
      </c>
      <c r="T87" s="18">
        <v>263800</v>
      </c>
    </row>
    <row r="88" spans="4:21" x14ac:dyDescent="0.2">
      <c r="D88" s="2">
        <v>313</v>
      </c>
      <c r="E88">
        <v>22</v>
      </c>
      <c r="F88" s="12">
        <v>310</v>
      </c>
      <c r="G88" s="12">
        <v>32614</v>
      </c>
      <c r="H88" s="12">
        <f>G88*3.412*0.001</f>
        <v>111.27896799999999</v>
      </c>
      <c r="I88" s="12">
        <v>582.79999999999995</v>
      </c>
      <c r="J88" s="14" t="e">
        <f>F88-H88-#REF!-#REF!-#REF!</f>
        <v>#REF!</v>
      </c>
      <c r="L88" t="s">
        <v>14</v>
      </c>
      <c r="M88" s="15">
        <f>H90+H91</f>
        <v>29.216956</v>
      </c>
      <c r="N88" s="15">
        <f>I90+I91</f>
        <v>173.39999999999998</v>
      </c>
      <c r="O88" s="4">
        <f>$AD$116</f>
        <v>1.0862977017311064</v>
      </c>
      <c r="P88" s="7">
        <f t="shared" si="17"/>
        <v>188.36402148017382</v>
      </c>
      <c r="R88">
        <f>0.7*I88</f>
        <v>407.95999999999992</v>
      </c>
      <c r="T88" s="18">
        <v>457128</v>
      </c>
    </row>
    <row r="89" spans="4:21" x14ac:dyDescent="0.2">
      <c r="D89">
        <v>314</v>
      </c>
      <c r="J89" s="3"/>
      <c r="L89">
        <v>321</v>
      </c>
      <c r="M89" s="15">
        <f t="shared" ref="M89:N96" si="18">H92</f>
        <v>67.680431999999996</v>
      </c>
      <c r="N89" s="15">
        <f t="shared" si="18"/>
        <v>494.9</v>
      </c>
      <c r="O89" s="4">
        <f>$AD$117</f>
        <v>0.86970227612053164</v>
      </c>
      <c r="P89" s="7">
        <f t="shared" si="17"/>
        <v>430.41565645205111</v>
      </c>
      <c r="R89">
        <f>0.3*I88</f>
        <v>174.83999999999997</v>
      </c>
      <c r="T89" s="18">
        <v>125672</v>
      </c>
    </row>
    <row r="90" spans="4:21" x14ac:dyDescent="0.2">
      <c r="D90">
        <v>315</v>
      </c>
      <c r="E90">
        <v>23</v>
      </c>
      <c r="F90">
        <v>56</v>
      </c>
      <c r="G90">
        <v>7735</v>
      </c>
      <c r="H90" s="12">
        <f t="shared" ref="H90:H106" si="19">G90*3.412*0.001</f>
        <v>26.391819999999999</v>
      </c>
      <c r="I90" s="12">
        <v>137.69999999999999</v>
      </c>
      <c r="J90" s="14" t="e">
        <f>F90-H90-#REF!-#REF!-#REF!</f>
        <v>#REF!</v>
      </c>
      <c r="L90">
        <f t="shared" ref="L90:L103" si="20">D93</f>
        <v>322</v>
      </c>
      <c r="M90" s="15">
        <f t="shared" si="18"/>
        <v>223.41434799999999</v>
      </c>
      <c r="N90" s="15">
        <f t="shared" si="18"/>
        <v>2558.9</v>
      </c>
      <c r="O90" s="4">
        <f>$AD$118</f>
        <v>0.99832231546260719</v>
      </c>
      <c r="P90" s="7">
        <f t="shared" si="17"/>
        <v>2554.6069730372656</v>
      </c>
      <c r="R90" s="15">
        <f>I90</f>
        <v>137.69999999999999</v>
      </c>
      <c r="T90" s="18">
        <v>103588</v>
      </c>
    </row>
    <row r="91" spans="4:21" x14ac:dyDescent="0.2">
      <c r="D91">
        <v>316</v>
      </c>
      <c r="E91">
        <v>31</v>
      </c>
      <c r="F91" s="14">
        <v>10</v>
      </c>
      <c r="G91">
        <v>828</v>
      </c>
      <c r="H91" s="12">
        <f t="shared" si="19"/>
        <v>2.8251360000000001</v>
      </c>
      <c r="I91" s="12">
        <v>35.700000000000003</v>
      </c>
      <c r="L91">
        <f t="shared" si="20"/>
        <v>323</v>
      </c>
      <c r="M91" s="15">
        <f t="shared" si="18"/>
        <v>59.399508000000004</v>
      </c>
      <c r="N91" s="15">
        <f t="shared" si="18"/>
        <v>295.3</v>
      </c>
      <c r="O91" s="4">
        <f>$AD$119</f>
        <v>0.70557464070883003</v>
      </c>
      <c r="P91" s="7">
        <f t="shared" si="17"/>
        <v>208.35619140131752</v>
      </c>
      <c r="R91" s="15">
        <f>I91</f>
        <v>35.700000000000003</v>
      </c>
      <c r="T91" s="18">
        <v>35700</v>
      </c>
    </row>
    <row r="92" spans="4:21" x14ac:dyDescent="0.2">
      <c r="D92">
        <f t="shared" ref="D92:D106" si="21">D40</f>
        <v>321</v>
      </c>
      <c r="E92">
        <v>24</v>
      </c>
      <c r="F92" s="19">
        <v>435</v>
      </c>
      <c r="G92">
        <v>19836</v>
      </c>
      <c r="H92" s="12">
        <f t="shared" si="19"/>
        <v>67.680431999999996</v>
      </c>
      <c r="I92" s="12">
        <v>494.9</v>
      </c>
      <c r="L92">
        <f t="shared" si="20"/>
        <v>324</v>
      </c>
      <c r="M92" s="15">
        <f t="shared" si="18"/>
        <v>120.92128</v>
      </c>
      <c r="N92" s="15">
        <f t="shared" si="18"/>
        <v>2098.1999999999998</v>
      </c>
      <c r="O92" s="4">
        <f>$AD$120</f>
        <v>1.0008325708705155</v>
      </c>
      <c r="P92" s="7">
        <f t="shared" si="17"/>
        <v>2099.9469002005153</v>
      </c>
      <c r="R92" s="15">
        <f>N89</f>
        <v>494.9</v>
      </c>
      <c r="T92" s="18">
        <v>316149</v>
      </c>
    </row>
    <row r="93" spans="4:21" x14ac:dyDescent="0.2">
      <c r="D93">
        <f t="shared" si="21"/>
        <v>322</v>
      </c>
      <c r="E93">
        <v>26</v>
      </c>
      <c r="F93" s="12">
        <v>2634</v>
      </c>
      <c r="G93">
        <v>65479</v>
      </c>
      <c r="H93" s="12">
        <f t="shared" si="19"/>
        <v>223.41434799999999</v>
      </c>
      <c r="I93" s="12">
        <v>2558.9</v>
      </c>
      <c r="L93">
        <f t="shared" si="20"/>
        <v>325</v>
      </c>
      <c r="M93" s="15">
        <f t="shared" si="18"/>
        <v>520.26858400000003</v>
      </c>
      <c r="N93" s="15">
        <f t="shared" si="18"/>
        <v>4360.1000000000004</v>
      </c>
      <c r="O93" s="4">
        <f>$AD$121</f>
        <v>0.99144124267556832</v>
      </c>
      <c r="P93" s="7">
        <f t="shared" si="17"/>
        <v>4322.7829621897454</v>
      </c>
      <c r="R93" s="15">
        <f t="shared" ref="R93:R106" si="22">N90</f>
        <v>2558.9</v>
      </c>
      <c r="T93" s="18">
        <v>2558900</v>
      </c>
    </row>
    <row r="94" spans="4:21" x14ac:dyDescent="0.2">
      <c r="D94">
        <f t="shared" si="21"/>
        <v>323</v>
      </c>
      <c r="E94">
        <v>27</v>
      </c>
      <c r="F94" s="12">
        <v>112</v>
      </c>
      <c r="G94">
        <v>17409</v>
      </c>
      <c r="H94" s="12">
        <f t="shared" si="19"/>
        <v>59.399508000000004</v>
      </c>
      <c r="I94" s="12">
        <v>295.3</v>
      </c>
      <c r="L94">
        <f t="shared" si="20"/>
        <v>326</v>
      </c>
      <c r="M94" s="15">
        <f t="shared" si="18"/>
        <v>149.27158799999998</v>
      </c>
      <c r="N94" s="15">
        <f t="shared" si="18"/>
        <v>503.8</v>
      </c>
      <c r="O94" s="4">
        <f>$AD$122</f>
        <v>1.0355216047246407</v>
      </c>
      <c r="P94" s="7">
        <f t="shared" si="17"/>
        <v>521.69578446027401</v>
      </c>
      <c r="R94" s="15">
        <f t="shared" si="22"/>
        <v>295.3</v>
      </c>
      <c r="T94" s="18">
        <v>216718</v>
      </c>
    </row>
    <row r="95" spans="4:21" x14ac:dyDescent="0.2">
      <c r="D95">
        <f t="shared" si="21"/>
        <v>324</v>
      </c>
      <c r="E95">
        <v>29</v>
      </c>
      <c r="F95" s="12">
        <v>3263</v>
      </c>
      <c r="G95">
        <v>35440</v>
      </c>
      <c r="H95" s="12">
        <f t="shared" si="19"/>
        <v>120.92128</v>
      </c>
      <c r="I95" s="12">
        <v>2098.1999999999998</v>
      </c>
      <c r="L95">
        <f t="shared" si="20"/>
        <v>327</v>
      </c>
      <c r="M95" s="15">
        <f t="shared" si="18"/>
        <v>122.893416</v>
      </c>
      <c r="N95" s="15">
        <f t="shared" si="18"/>
        <v>2013.8</v>
      </c>
      <c r="O95" s="4">
        <f>$AD$123</f>
        <v>0.99993870938021057</v>
      </c>
      <c r="P95" s="7">
        <f t="shared" si="17"/>
        <v>2013.6765729498679</v>
      </c>
      <c r="R95" s="15">
        <f t="shared" si="22"/>
        <v>2098.1999999999998</v>
      </c>
      <c r="T95" s="18">
        <v>2098200</v>
      </c>
    </row>
    <row r="96" spans="4:21" x14ac:dyDescent="0.2">
      <c r="D96">
        <f t="shared" si="21"/>
        <v>325</v>
      </c>
      <c r="E96">
        <v>28</v>
      </c>
      <c r="F96" s="12">
        <v>3273</v>
      </c>
      <c r="G96">
        <v>152482</v>
      </c>
      <c r="H96" s="12">
        <f t="shared" si="19"/>
        <v>520.26858400000003</v>
      </c>
      <c r="I96" s="12">
        <v>4360.1000000000004</v>
      </c>
      <c r="L96">
        <f t="shared" si="20"/>
        <v>331</v>
      </c>
      <c r="M96" s="15">
        <f t="shared" si="18"/>
        <v>492.91799199999997</v>
      </c>
      <c r="N96" s="15">
        <f t="shared" si="18"/>
        <v>3084.8</v>
      </c>
      <c r="O96" s="4">
        <f>$AD$124</f>
        <v>1.010397468376462</v>
      </c>
      <c r="P96" s="7">
        <f t="shared" si="17"/>
        <v>3116.8741104477103</v>
      </c>
      <c r="R96" s="15">
        <f t="shared" si="22"/>
        <v>4360.1000000000004</v>
      </c>
      <c r="T96" s="18">
        <v>4360100</v>
      </c>
    </row>
    <row r="97" spans="3:26" x14ac:dyDescent="0.2">
      <c r="D97">
        <f t="shared" si="21"/>
        <v>326</v>
      </c>
      <c r="E97">
        <v>30</v>
      </c>
      <c r="F97" s="12">
        <v>286</v>
      </c>
      <c r="G97">
        <v>43749</v>
      </c>
      <c r="H97" s="12">
        <f t="shared" si="19"/>
        <v>149.27158799999998</v>
      </c>
      <c r="I97" s="12">
        <v>503.8</v>
      </c>
      <c r="L97">
        <f t="shared" si="20"/>
        <v>332</v>
      </c>
      <c r="M97" s="15">
        <f>H100</f>
        <v>115.390428</v>
      </c>
      <c r="N97" s="15">
        <f>I100+$AN$142*I101-$AN$149*I100</f>
        <v>988.54679999999996</v>
      </c>
      <c r="O97" s="4">
        <f>$AD$125</f>
        <v>1.0050318572657224</v>
      </c>
      <c r="P97" s="7">
        <f t="shared" si="17"/>
        <v>993.52102639808663</v>
      </c>
      <c r="R97" s="15">
        <f t="shared" si="22"/>
        <v>503.8</v>
      </c>
      <c r="T97" s="18">
        <v>503800</v>
      </c>
    </row>
    <row r="98" spans="3:26" x14ac:dyDescent="0.2">
      <c r="D98">
        <f t="shared" si="21"/>
        <v>327</v>
      </c>
      <c r="E98">
        <v>32</v>
      </c>
      <c r="F98" s="12">
        <v>945</v>
      </c>
      <c r="G98">
        <v>36018</v>
      </c>
      <c r="H98" s="12">
        <f t="shared" si="19"/>
        <v>122.893416</v>
      </c>
      <c r="I98" s="12">
        <v>2013.8</v>
      </c>
      <c r="L98">
        <f t="shared" si="20"/>
        <v>333</v>
      </c>
      <c r="M98" s="15">
        <f>0.9*H101</f>
        <v>98.379219599999999</v>
      </c>
      <c r="N98" s="15">
        <f>I101-$AN$142*I101-$AN$140*I101-$AN$141*I101+$AN$146*I102</f>
        <v>481.4128</v>
      </c>
      <c r="O98" s="4">
        <f>$AD$126</f>
        <v>0.99057294439314503</v>
      </c>
      <c r="P98" s="7">
        <f t="shared" si="17"/>
        <v>476.87449476454827</v>
      </c>
      <c r="R98" s="15">
        <f t="shared" si="22"/>
        <v>2013.8</v>
      </c>
      <c r="T98" s="18">
        <v>2013800</v>
      </c>
    </row>
    <row r="99" spans="3:26" x14ac:dyDescent="0.2">
      <c r="D99">
        <f t="shared" si="21"/>
        <v>331</v>
      </c>
      <c r="E99">
        <v>33</v>
      </c>
      <c r="F99" s="12">
        <v>2568</v>
      </c>
      <c r="G99">
        <v>144466</v>
      </c>
      <c r="H99" s="12">
        <f t="shared" si="19"/>
        <v>492.91799199999997</v>
      </c>
      <c r="I99" s="12">
        <v>3084.8</v>
      </c>
      <c r="L99">
        <f t="shared" si="20"/>
        <v>334</v>
      </c>
      <c r="M99" s="7">
        <f>0.1*H101+0.35*H103+0.5*H102</f>
        <v>73.530305999999996</v>
      </c>
      <c r="N99" s="7">
        <f>$AN$140*I101+$AN$153*I102+$AN$151*I103</f>
        <v>235.0822</v>
      </c>
      <c r="O99" s="4">
        <f>$AD$127</f>
        <v>1.0234677016554385</v>
      </c>
      <c r="P99" s="7">
        <f t="shared" si="17"/>
        <v>240.59903893410413</v>
      </c>
      <c r="R99" s="15">
        <f t="shared" si="22"/>
        <v>3084.8</v>
      </c>
      <c r="T99" s="18">
        <v>3084800</v>
      </c>
    </row>
    <row r="100" spans="3:26" x14ac:dyDescent="0.2">
      <c r="D100">
        <f t="shared" si="21"/>
        <v>332</v>
      </c>
      <c r="E100">
        <v>34</v>
      </c>
      <c r="F100" s="12">
        <v>365</v>
      </c>
      <c r="G100">
        <v>33819</v>
      </c>
      <c r="H100" s="12">
        <f t="shared" si="19"/>
        <v>115.390428</v>
      </c>
      <c r="I100" s="12">
        <v>921.9</v>
      </c>
      <c r="L100">
        <f t="shared" si="20"/>
        <v>335</v>
      </c>
      <c r="M100" s="7">
        <f>0.65*H103</f>
        <v>73.51563440000001</v>
      </c>
      <c r="N100" s="7">
        <f>(1-$AN$150-$AN$151)*I103</f>
        <v>263.89999999999998</v>
      </c>
      <c r="O100" s="4">
        <f>$AD$128</f>
        <v>0.8929284199379155</v>
      </c>
      <c r="P100" s="7">
        <f t="shared" si="17"/>
        <v>235.64381002161588</v>
      </c>
      <c r="R100" s="15">
        <f t="shared" si="22"/>
        <v>988.54679999999996</v>
      </c>
      <c r="T100" s="18">
        <v>1063690</v>
      </c>
    </row>
    <row r="101" spans="3:26" x14ac:dyDescent="0.2">
      <c r="D101">
        <f t="shared" si="21"/>
        <v>333</v>
      </c>
      <c r="E101">
        <v>35</v>
      </c>
      <c r="F101" s="12">
        <v>245</v>
      </c>
      <c r="G101">
        <v>32037</v>
      </c>
      <c r="H101" s="12">
        <f t="shared" si="19"/>
        <v>109.310244</v>
      </c>
      <c r="I101" s="12">
        <v>590.9</v>
      </c>
      <c r="L101">
        <f t="shared" si="20"/>
        <v>336</v>
      </c>
      <c r="M101" s="7">
        <f>H104</f>
        <v>132.293476</v>
      </c>
      <c r="N101" s="7">
        <f>I104+$AN$149*I100+P$141*I101+$AN$150*I103</f>
        <v>824.77300000000002</v>
      </c>
      <c r="O101" s="4">
        <f>$AD$129</f>
        <v>1.0499456144576871</v>
      </c>
      <c r="P101" s="7">
        <f t="shared" si="17"/>
        <v>865.96679427310994</v>
      </c>
      <c r="R101" s="15">
        <f t="shared" si="22"/>
        <v>481.4128</v>
      </c>
      <c r="T101" s="18">
        <v>458560</v>
      </c>
    </row>
    <row r="102" spans="3:26" x14ac:dyDescent="0.2">
      <c r="D102">
        <f t="shared" si="21"/>
        <v>334</v>
      </c>
      <c r="E102" s="3">
        <v>38</v>
      </c>
      <c r="F102" s="12">
        <v>106</v>
      </c>
      <c r="G102">
        <v>13490</v>
      </c>
      <c r="H102" s="12">
        <f t="shared" si="19"/>
        <v>46.027879999999996</v>
      </c>
      <c r="I102" s="12">
        <v>212.4</v>
      </c>
      <c r="L102">
        <f t="shared" si="20"/>
        <v>337</v>
      </c>
      <c r="M102" s="7">
        <f>H105</f>
        <v>22.48508</v>
      </c>
      <c r="N102" s="7">
        <f>I105</f>
        <v>142.4</v>
      </c>
      <c r="O102" s="4">
        <f>$AD$130</f>
        <v>1.1125687426632083</v>
      </c>
      <c r="P102" s="7">
        <f t="shared" si="17"/>
        <v>158.42978895524087</v>
      </c>
      <c r="R102" s="15">
        <f t="shared" si="22"/>
        <v>235.0822</v>
      </c>
      <c r="T102" s="18">
        <v>330991</v>
      </c>
    </row>
    <row r="103" spans="3:26" ht="13.5" thickBot="1" x14ac:dyDescent="0.25">
      <c r="D103">
        <f t="shared" si="21"/>
        <v>335</v>
      </c>
      <c r="E103">
        <v>36</v>
      </c>
      <c r="F103">
        <v>230</v>
      </c>
      <c r="G103">
        <v>33148</v>
      </c>
      <c r="H103" s="12">
        <f t="shared" si="19"/>
        <v>113.100976</v>
      </c>
      <c r="I103" s="12">
        <v>406</v>
      </c>
      <c r="L103" s="1">
        <f t="shared" si="20"/>
        <v>339</v>
      </c>
      <c r="M103" s="27">
        <f>H106+0.5*H102</f>
        <v>42.035839999999993</v>
      </c>
      <c r="N103" s="27">
        <f>I106+$AN$147*I102</f>
        <v>185.56720000000001</v>
      </c>
      <c r="O103" s="26">
        <f>$AD$131</f>
        <v>0.93664838905802084</v>
      </c>
      <c r="P103" s="27">
        <f t="shared" si="17"/>
        <v>173.81121894200757</v>
      </c>
      <c r="R103" s="15">
        <f t="shared" si="22"/>
        <v>263.89999999999998</v>
      </c>
      <c r="T103" s="18">
        <v>225079</v>
      </c>
    </row>
    <row r="104" spans="3:26" x14ac:dyDescent="0.2">
      <c r="D104">
        <f t="shared" si="21"/>
        <v>336</v>
      </c>
      <c r="E104">
        <v>37</v>
      </c>
      <c r="F104" s="12">
        <v>358</v>
      </c>
      <c r="G104">
        <v>38773</v>
      </c>
      <c r="H104" s="12">
        <f t="shared" si="19"/>
        <v>132.293476</v>
      </c>
      <c r="I104" s="12">
        <v>744</v>
      </c>
      <c r="M104" s="15">
        <f>SUM(M86:M103)</f>
        <v>2655.6756080000005</v>
      </c>
      <c r="N104" s="15">
        <f>SUM(N86:N103)</f>
        <v>21430.682000000004</v>
      </c>
      <c r="O104" s="15"/>
      <c r="P104" s="15">
        <f>SUM(P86:P103)</f>
        <v>21324.032740978713</v>
      </c>
      <c r="R104" s="15">
        <f t="shared" si="22"/>
        <v>824.77300000000002</v>
      </c>
      <c r="T104" s="18">
        <v>891338</v>
      </c>
    </row>
    <row r="105" spans="3:26" x14ac:dyDescent="0.2">
      <c r="D105">
        <f t="shared" si="21"/>
        <v>337</v>
      </c>
      <c r="E105">
        <v>25</v>
      </c>
      <c r="F105" s="12">
        <v>65</v>
      </c>
      <c r="G105">
        <v>6590</v>
      </c>
      <c r="H105" s="12">
        <f t="shared" si="19"/>
        <v>22.48508</v>
      </c>
      <c r="I105" s="12">
        <v>142.4</v>
      </c>
      <c r="R105" s="15">
        <f t="shared" si="22"/>
        <v>142.4</v>
      </c>
      <c r="T105" s="18">
        <v>167431</v>
      </c>
    </row>
    <row r="106" spans="3:26" ht="13.5" thickBot="1" x14ac:dyDescent="0.25">
      <c r="D106">
        <f t="shared" si="21"/>
        <v>339</v>
      </c>
      <c r="E106">
        <v>39</v>
      </c>
      <c r="F106" s="12">
        <v>51</v>
      </c>
      <c r="G106">
        <v>5575</v>
      </c>
      <c r="H106" s="12">
        <f t="shared" si="19"/>
        <v>19.021899999999999</v>
      </c>
      <c r="I106" s="12">
        <v>115.9</v>
      </c>
      <c r="R106" s="99">
        <f t="shared" si="22"/>
        <v>185.56720000000001</v>
      </c>
      <c r="T106" s="18">
        <v>172276</v>
      </c>
    </row>
    <row r="107" spans="3:26" x14ac:dyDescent="0.2">
      <c r="F107" s="15">
        <f>SUM(F86:F106)</f>
        <v>16515</v>
      </c>
      <c r="G107" s="15">
        <f>SUM(G86:G106)</f>
        <v>778334</v>
      </c>
      <c r="H107" s="15">
        <f>SUM(H86:H106)</f>
        <v>2655.6756080000005</v>
      </c>
      <c r="I107" s="15">
        <f>SUM(I86:I106)</f>
        <v>21442.500000000007</v>
      </c>
      <c r="R107" s="100">
        <f>SUM(R86:R106)</f>
        <v>21430.682000000004</v>
      </c>
    </row>
    <row r="108" spans="3:26" x14ac:dyDescent="0.2">
      <c r="C108" t="s">
        <v>42</v>
      </c>
      <c r="F108">
        <v>16485</v>
      </c>
      <c r="G108">
        <v>778334</v>
      </c>
      <c r="H108">
        <v>2655.6756080000005</v>
      </c>
      <c r="I108">
        <v>13835</v>
      </c>
    </row>
    <row r="109" spans="3:26" x14ac:dyDescent="0.2">
      <c r="C109" t="s">
        <v>43</v>
      </c>
      <c r="F109" s="12">
        <v>16515</v>
      </c>
      <c r="G109">
        <v>778335</v>
      </c>
    </row>
    <row r="111" spans="3:26" x14ac:dyDescent="0.2">
      <c r="Z111" t="s">
        <v>58</v>
      </c>
    </row>
    <row r="112" spans="3:26" x14ac:dyDescent="0.2">
      <c r="D112">
        <v>1998</v>
      </c>
      <c r="E112" t="s">
        <v>38</v>
      </c>
      <c r="F112" t="s">
        <v>45</v>
      </c>
      <c r="L112" t="s">
        <v>94</v>
      </c>
      <c r="Q112">
        <v>1998</v>
      </c>
      <c r="R112" t="s">
        <v>38</v>
      </c>
      <c r="S112" t="s">
        <v>44</v>
      </c>
      <c r="X112" t="s">
        <v>61</v>
      </c>
      <c r="Z112" t="s">
        <v>39</v>
      </c>
    </row>
    <row r="113" spans="4:56" ht="45.75" thickBot="1" x14ac:dyDescent="0.25">
      <c r="F113" s="10" t="s">
        <v>33</v>
      </c>
      <c r="G113" s="11" t="s">
        <v>34</v>
      </c>
      <c r="H113" s="11" t="s">
        <v>35</v>
      </c>
      <c r="I113" s="11" t="s">
        <v>36</v>
      </c>
      <c r="J113" s="13" t="s">
        <v>37</v>
      </c>
      <c r="M113" s="17" t="s">
        <v>35</v>
      </c>
      <c r="N113" s="17" t="s">
        <v>36</v>
      </c>
      <c r="S113" s="10" t="s">
        <v>33</v>
      </c>
      <c r="T113" s="11" t="s">
        <v>34</v>
      </c>
      <c r="U113" s="11" t="s">
        <v>35</v>
      </c>
      <c r="V113" s="11" t="s">
        <v>36</v>
      </c>
      <c r="X113" s="11" t="str">
        <f t="shared" ref="X113:X134" si="23">I113</f>
        <v>Total Fuel</v>
      </c>
      <c r="AA113" s="17" t="s">
        <v>59</v>
      </c>
      <c r="AB113" s="17" t="s">
        <v>60</v>
      </c>
      <c r="AC113" s="24" t="s">
        <v>81</v>
      </c>
      <c r="AD113" s="1" t="s">
        <v>63</v>
      </c>
      <c r="AE113" t="s">
        <v>62</v>
      </c>
    </row>
    <row r="114" spans="4:56" x14ac:dyDescent="0.2">
      <c r="D114" s="2">
        <v>311</v>
      </c>
      <c r="E114">
        <v>20</v>
      </c>
      <c r="F114" s="12">
        <v>1118</v>
      </c>
      <c r="G114" s="12">
        <v>67474</v>
      </c>
      <c r="H114" s="12">
        <f>G114*3.412*0.001</f>
        <v>230.22128800000002</v>
      </c>
      <c r="I114" s="12">
        <f>F114-H114</f>
        <v>887.77871200000004</v>
      </c>
      <c r="J114" s="14" t="e">
        <f>F114-G114-#REF!-#REF!-#REF!</f>
        <v>#REF!</v>
      </c>
      <c r="L114" t="s">
        <v>12</v>
      </c>
      <c r="M114" s="15">
        <f>U114+U115</f>
        <v>237.403548</v>
      </c>
      <c r="N114" s="15">
        <f>V114+V115</f>
        <v>914.596452</v>
      </c>
      <c r="Q114" s="2">
        <v>311</v>
      </c>
      <c r="R114">
        <v>20</v>
      </c>
      <c r="S114" s="12">
        <v>1044</v>
      </c>
      <c r="T114" s="12">
        <v>62457</v>
      </c>
      <c r="U114" s="12">
        <f t="shared" ref="U114:U134" si="24">T114*3.412*0.001</f>
        <v>213.103284</v>
      </c>
      <c r="V114" s="12">
        <f t="shared" ref="V114:V134" si="25">S114-U114</f>
        <v>830.89671599999997</v>
      </c>
      <c r="X114" s="11">
        <f t="shared" si="23"/>
        <v>887.77871200000004</v>
      </c>
      <c r="Z114" t="s">
        <v>12</v>
      </c>
      <c r="AA114" s="15">
        <f>V114+V115</f>
        <v>914.596452</v>
      </c>
      <c r="AB114" s="15">
        <f>X114+X115</f>
        <v>908.82448800000009</v>
      </c>
      <c r="AC114" s="15">
        <f>X114+X115</f>
        <v>908.82448800000009</v>
      </c>
      <c r="AD114" s="30">
        <f t="shared" ref="AD114:AD131" si="26">AA114/AB114</f>
        <v>1.0063510216507281</v>
      </c>
      <c r="AE114" s="18">
        <f t="shared" ref="AE114:AE131" si="27">AD114*AC114</f>
        <v>914.596452</v>
      </c>
    </row>
    <row r="115" spans="4:56" x14ac:dyDescent="0.2">
      <c r="D115" s="2">
        <v>312</v>
      </c>
      <c r="E115">
        <v>21</v>
      </c>
      <c r="F115" s="19">
        <v>26</v>
      </c>
      <c r="G115" s="12">
        <v>1452</v>
      </c>
      <c r="H115" s="12">
        <f>G115*3.412*0.001</f>
        <v>4.954224</v>
      </c>
      <c r="I115" s="12">
        <f>F115-H115</f>
        <v>21.045776</v>
      </c>
      <c r="J115" s="14" t="e">
        <f>F115-G115-#REF!-#REF!-#REF!</f>
        <v>#REF!</v>
      </c>
      <c r="L115" t="s">
        <v>13</v>
      </c>
      <c r="M115" s="15">
        <f>U116+U117</f>
        <v>119.116332</v>
      </c>
      <c r="N115" s="15">
        <f>V116+V117</f>
        <v>183.883668</v>
      </c>
      <c r="Q115" s="2">
        <v>312</v>
      </c>
      <c r="R115">
        <v>21</v>
      </c>
      <c r="S115" s="19">
        <v>108</v>
      </c>
      <c r="T115" s="12">
        <v>7122</v>
      </c>
      <c r="U115" s="12">
        <f t="shared" si="24"/>
        <v>24.300263999999999</v>
      </c>
      <c r="V115" s="12">
        <f t="shared" si="25"/>
        <v>83.699736000000001</v>
      </c>
      <c r="X115" s="11">
        <f t="shared" si="23"/>
        <v>21.045776</v>
      </c>
      <c r="Z115" t="s">
        <v>13</v>
      </c>
      <c r="AA115" s="15">
        <f>V116+V117</f>
        <v>183.883668</v>
      </c>
      <c r="AB115" s="15">
        <f>X116+X117</f>
        <v>189.38949600000001</v>
      </c>
      <c r="AC115" s="15">
        <f>X116+X117</f>
        <v>189.38949600000001</v>
      </c>
      <c r="AD115" s="30">
        <f t="shared" si="26"/>
        <v>0.97092854611113166</v>
      </c>
      <c r="AE115" s="18">
        <f t="shared" si="27"/>
        <v>183.883668</v>
      </c>
    </row>
    <row r="116" spans="4:56" x14ac:dyDescent="0.2">
      <c r="D116" s="2">
        <v>313</v>
      </c>
      <c r="E116">
        <v>22</v>
      </c>
      <c r="F116" s="12">
        <v>311</v>
      </c>
      <c r="G116" s="12">
        <v>35642</v>
      </c>
      <c r="H116" s="12">
        <f>G116*3.412*0.001</f>
        <v>121.61050400000001</v>
      </c>
      <c r="I116" s="12">
        <f>F116-H116</f>
        <v>189.38949600000001</v>
      </c>
      <c r="J116" s="14" t="e">
        <f>F116-H116-#REF!-#REF!-#REF!</f>
        <v>#REF!</v>
      </c>
      <c r="L116" t="s">
        <v>14</v>
      </c>
      <c r="M116" s="15">
        <f>U118+U119</f>
        <v>20.512944000000001</v>
      </c>
      <c r="N116" s="15">
        <f>V118+V119</f>
        <v>35.487055999999995</v>
      </c>
      <c r="Q116" s="2">
        <v>313</v>
      </c>
      <c r="R116">
        <v>22</v>
      </c>
      <c r="S116" s="12">
        <v>254</v>
      </c>
      <c r="T116" s="12">
        <v>29759</v>
      </c>
      <c r="U116" s="12">
        <f t="shared" si="24"/>
        <v>101.53770799999999</v>
      </c>
      <c r="V116" s="12">
        <f t="shared" si="25"/>
        <v>152.46229199999999</v>
      </c>
      <c r="X116" s="11">
        <f t="shared" si="23"/>
        <v>189.38949600000001</v>
      </c>
      <c r="Z116" t="s">
        <v>14</v>
      </c>
      <c r="AA116" s="15">
        <f>V118+V119</f>
        <v>35.487055999999995</v>
      </c>
      <c r="AB116" s="15">
        <f>X118+X119</f>
        <v>32.667892000000002</v>
      </c>
      <c r="AC116" s="15">
        <f>X118+X119</f>
        <v>32.667892000000002</v>
      </c>
      <c r="AD116" s="30">
        <f t="shared" si="26"/>
        <v>1.0862977017311064</v>
      </c>
      <c r="AE116" s="18">
        <f t="shared" si="27"/>
        <v>35.487056000000003</v>
      </c>
    </row>
    <row r="117" spans="4:56" x14ac:dyDescent="0.2">
      <c r="D117">
        <v>314</v>
      </c>
      <c r="J117" s="3"/>
      <c r="L117">
        <v>321</v>
      </c>
      <c r="M117" s="15">
        <f t="shared" ref="M117:M131" si="28">U120</f>
        <v>72.232039999999998</v>
      </c>
      <c r="N117" s="15">
        <f t="shared" ref="N117:N131" si="29">V120</f>
        <v>431.76796000000002</v>
      </c>
      <c r="Q117">
        <v>314</v>
      </c>
      <c r="S117" s="12">
        <v>49</v>
      </c>
      <c r="T117" s="12">
        <v>5152</v>
      </c>
      <c r="U117" s="12">
        <f t="shared" si="24"/>
        <v>17.578624000000001</v>
      </c>
      <c r="V117" s="12">
        <f t="shared" si="25"/>
        <v>31.421375999999999</v>
      </c>
      <c r="X117" s="11">
        <f t="shared" si="23"/>
        <v>0</v>
      </c>
      <c r="Z117">
        <v>321</v>
      </c>
      <c r="AA117" s="15">
        <f t="shared" ref="AA117:AA131" si="30">V120</f>
        <v>431.76796000000002</v>
      </c>
      <c r="AB117" s="15">
        <f t="shared" ref="AB117:AB124" si="31">X120</f>
        <v>496.454904</v>
      </c>
      <c r="AC117" s="15">
        <f t="shared" ref="AC117:AC124" si="32">X120</f>
        <v>496.454904</v>
      </c>
      <c r="AD117" s="30">
        <f t="shared" si="26"/>
        <v>0.86970227612053164</v>
      </c>
      <c r="AE117" s="18">
        <f t="shared" si="27"/>
        <v>431.76796000000002</v>
      </c>
    </row>
    <row r="118" spans="4:56" x14ac:dyDescent="0.2">
      <c r="D118">
        <v>315</v>
      </c>
      <c r="E118">
        <v>23</v>
      </c>
      <c r="F118">
        <v>44</v>
      </c>
      <c r="G118">
        <v>5163</v>
      </c>
      <c r="H118" s="12">
        <f t="shared" ref="H118:H134" si="33">G118*3.412*0.001</f>
        <v>17.616156</v>
      </c>
      <c r="I118" s="12">
        <f t="shared" ref="I118:I134" si="34">F118-H118</f>
        <v>26.383844</v>
      </c>
      <c r="J118" s="14" t="e">
        <f>F118-H118-#REF!-#REF!-#REF!</f>
        <v>#REF!</v>
      </c>
      <c r="L118">
        <f t="shared" ref="L118:L131" si="35">D121</f>
        <v>322</v>
      </c>
      <c r="M118" s="15">
        <f t="shared" si="28"/>
        <v>240.08196799999999</v>
      </c>
      <c r="N118" s="15">
        <f t="shared" si="29"/>
        <v>2503.918032</v>
      </c>
      <c r="Q118">
        <v>315</v>
      </c>
      <c r="R118">
        <v>23</v>
      </c>
      <c r="S118">
        <v>48</v>
      </c>
      <c r="T118">
        <v>5251</v>
      </c>
      <c r="U118" s="12">
        <f t="shared" si="24"/>
        <v>17.916412000000001</v>
      </c>
      <c r="V118" s="12">
        <f t="shared" si="25"/>
        <v>30.083587999999999</v>
      </c>
      <c r="X118" s="11">
        <f t="shared" si="23"/>
        <v>26.383844</v>
      </c>
      <c r="Z118">
        <f t="shared" ref="Z118:Z131" si="36">Q121</f>
        <v>322</v>
      </c>
      <c r="AA118" s="15">
        <f t="shared" si="30"/>
        <v>2503.918032</v>
      </c>
      <c r="AB118" s="15">
        <f t="shared" si="31"/>
        <v>2508.1258760000001</v>
      </c>
      <c r="AC118" s="15">
        <f t="shared" si="32"/>
        <v>2508.1258760000001</v>
      </c>
      <c r="AD118" s="30">
        <f t="shared" si="26"/>
        <v>0.99832231546260719</v>
      </c>
      <c r="AE118" s="18">
        <f t="shared" si="27"/>
        <v>2503.918032</v>
      </c>
    </row>
    <row r="119" spans="4:56" x14ac:dyDescent="0.2">
      <c r="D119">
        <v>316</v>
      </c>
      <c r="E119">
        <v>31</v>
      </c>
      <c r="F119" s="19">
        <v>9</v>
      </c>
      <c r="G119">
        <v>796</v>
      </c>
      <c r="H119" s="12">
        <f t="shared" si="33"/>
        <v>2.7159519999999997</v>
      </c>
      <c r="I119" s="12">
        <f t="shared" si="34"/>
        <v>6.2840480000000003</v>
      </c>
      <c r="L119">
        <f t="shared" si="35"/>
        <v>323</v>
      </c>
      <c r="M119" s="15">
        <f t="shared" si="28"/>
        <v>50.995752000000003</v>
      </c>
      <c r="N119" s="15">
        <f t="shared" si="29"/>
        <v>47.004247999999997</v>
      </c>
      <c r="Q119">
        <v>316</v>
      </c>
      <c r="R119">
        <v>31</v>
      </c>
      <c r="S119" s="19">
        <v>8</v>
      </c>
      <c r="T119">
        <v>761</v>
      </c>
      <c r="U119" s="12">
        <f t="shared" si="24"/>
        <v>2.5965320000000003</v>
      </c>
      <c r="V119" s="12">
        <f t="shared" si="25"/>
        <v>5.4034680000000002</v>
      </c>
      <c r="X119" s="11">
        <f t="shared" si="23"/>
        <v>6.2840480000000003</v>
      </c>
      <c r="Z119">
        <f t="shared" si="36"/>
        <v>323</v>
      </c>
      <c r="AA119" s="15">
        <f t="shared" si="30"/>
        <v>47.004247999999997</v>
      </c>
      <c r="AB119" s="15">
        <f t="shared" si="31"/>
        <v>66.618392</v>
      </c>
      <c r="AC119" s="15">
        <f t="shared" si="32"/>
        <v>66.618392</v>
      </c>
      <c r="AD119" s="30">
        <f t="shared" si="26"/>
        <v>0.70557464070883003</v>
      </c>
      <c r="AE119" s="18">
        <f t="shared" si="27"/>
        <v>47.004247999999997</v>
      </c>
    </row>
    <row r="120" spans="4:56" x14ac:dyDescent="0.2">
      <c r="D120">
        <f t="shared" ref="D120:D134" si="37">D14</f>
        <v>321</v>
      </c>
      <c r="E120">
        <v>24</v>
      </c>
      <c r="F120" s="19">
        <v>584</v>
      </c>
      <c r="G120">
        <v>25658</v>
      </c>
      <c r="H120" s="12">
        <f t="shared" si="33"/>
        <v>87.545096000000001</v>
      </c>
      <c r="I120" s="12">
        <f t="shared" si="34"/>
        <v>496.454904</v>
      </c>
      <c r="L120">
        <f t="shared" si="35"/>
        <v>324</v>
      </c>
      <c r="M120" s="15">
        <f t="shared" si="28"/>
        <v>126.445308</v>
      </c>
      <c r="N120" s="15">
        <f t="shared" si="29"/>
        <v>3495.5546920000002</v>
      </c>
      <c r="Q120">
        <f t="shared" ref="Q120:Q134" si="38">D14</f>
        <v>321</v>
      </c>
      <c r="R120">
        <v>24</v>
      </c>
      <c r="S120" s="19">
        <v>504</v>
      </c>
      <c r="T120">
        <v>21170</v>
      </c>
      <c r="U120" s="12">
        <f t="shared" si="24"/>
        <v>72.232039999999998</v>
      </c>
      <c r="V120" s="12">
        <f t="shared" si="25"/>
        <v>431.76796000000002</v>
      </c>
      <c r="X120" s="11">
        <f t="shared" si="23"/>
        <v>496.454904</v>
      </c>
      <c r="Z120">
        <f t="shared" si="36"/>
        <v>324</v>
      </c>
      <c r="AA120" s="15">
        <f t="shared" si="30"/>
        <v>3495.5546920000002</v>
      </c>
      <c r="AB120" s="15">
        <f t="shared" si="31"/>
        <v>3492.6468159999999</v>
      </c>
      <c r="AC120" s="15">
        <f t="shared" si="32"/>
        <v>3492.6468159999999</v>
      </c>
      <c r="AD120" s="30">
        <f t="shared" si="26"/>
        <v>1.0008325708705155</v>
      </c>
      <c r="AE120" s="18">
        <f t="shared" si="27"/>
        <v>3495.5546920000002</v>
      </c>
    </row>
    <row r="121" spans="4:56" x14ac:dyDescent="0.2">
      <c r="D121">
        <f t="shared" si="37"/>
        <v>322</v>
      </c>
      <c r="E121">
        <v>26</v>
      </c>
      <c r="F121" s="12">
        <v>2759</v>
      </c>
      <c r="G121">
        <v>73527</v>
      </c>
      <c r="H121" s="12">
        <f t="shared" si="33"/>
        <v>250.87412399999999</v>
      </c>
      <c r="I121" s="12">
        <f t="shared" si="34"/>
        <v>2508.1258760000001</v>
      </c>
      <c r="L121">
        <f t="shared" si="35"/>
        <v>325</v>
      </c>
      <c r="M121" s="15">
        <f t="shared" si="28"/>
        <v>577.42299600000001</v>
      </c>
      <c r="N121" s="15">
        <f t="shared" si="29"/>
        <v>3126.5770039999998</v>
      </c>
      <c r="Q121">
        <f t="shared" si="38"/>
        <v>322</v>
      </c>
      <c r="R121">
        <v>26</v>
      </c>
      <c r="S121" s="12">
        <v>2744</v>
      </c>
      <c r="T121">
        <v>70364</v>
      </c>
      <c r="U121" s="12">
        <f t="shared" si="24"/>
        <v>240.08196799999999</v>
      </c>
      <c r="V121" s="12">
        <f t="shared" si="25"/>
        <v>2503.918032</v>
      </c>
      <c r="X121" s="11">
        <f t="shared" si="23"/>
        <v>2508.1258760000001</v>
      </c>
      <c r="Z121">
        <f t="shared" si="36"/>
        <v>325</v>
      </c>
      <c r="AA121" s="15">
        <f t="shared" si="30"/>
        <v>3126.5770039999998</v>
      </c>
      <c r="AB121" s="15">
        <f t="shared" si="31"/>
        <v>3153.5676240000003</v>
      </c>
      <c r="AC121" s="15">
        <f t="shared" si="32"/>
        <v>3153.5676240000003</v>
      </c>
      <c r="AD121" s="30">
        <f t="shared" si="26"/>
        <v>0.99144124267556832</v>
      </c>
      <c r="AE121" s="18">
        <f t="shared" si="27"/>
        <v>3126.5770039999998</v>
      </c>
    </row>
    <row r="122" spans="4:56" x14ac:dyDescent="0.2">
      <c r="D122">
        <f t="shared" si="37"/>
        <v>323</v>
      </c>
      <c r="E122">
        <v>27</v>
      </c>
      <c r="F122" s="12">
        <v>165</v>
      </c>
      <c r="G122">
        <v>28834</v>
      </c>
      <c r="H122" s="12">
        <f t="shared" si="33"/>
        <v>98.381608</v>
      </c>
      <c r="I122" s="12">
        <f t="shared" si="34"/>
        <v>66.618392</v>
      </c>
      <c r="L122">
        <f t="shared" si="35"/>
        <v>326</v>
      </c>
      <c r="M122" s="15">
        <f t="shared" si="28"/>
        <v>182.60000399999998</v>
      </c>
      <c r="N122" s="15">
        <f t="shared" si="29"/>
        <v>144.39999600000002</v>
      </c>
      <c r="Q122">
        <f t="shared" si="38"/>
        <v>323</v>
      </c>
      <c r="R122">
        <v>27</v>
      </c>
      <c r="S122" s="12">
        <v>98</v>
      </c>
      <c r="T122">
        <v>14946</v>
      </c>
      <c r="U122" s="12">
        <f t="shared" si="24"/>
        <v>50.995752000000003</v>
      </c>
      <c r="V122" s="12">
        <f t="shared" si="25"/>
        <v>47.004247999999997</v>
      </c>
      <c r="X122" s="11">
        <f t="shared" si="23"/>
        <v>66.618392</v>
      </c>
      <c r="Z122">
        <f t="shared" si="36"/>
        <v>326</v>
      </c>
      <c r="AA122" s="15">
        <f t="shared" si="30"/>
        <v>144.39999600000002</v>
      </c>
      <c r="AB122" s="15">
        <f t="shared" si="31"/>
        <v>139.446628</v>
      </c>
      <c r="AC122" s="15">
        <f t="shared" si="32"/>
        <v>139.446628</v>
      </c>
      <c r="AD122" s="30">
        <f t="shared" si="26"/>
        <v>1.0355216047246407</v>
      </c>
      <c r="AE122" s="18">
        <f t="shared" si="27"/>
        <v>144.39999600000002</v>
      </c>
    </row>
    <row r="123" spans="4:56" x14ac:dyDescent="0.2">
      <c r="D123">
        <f t="shared" si="37"/>
        <v>324</v>
      </c>
      <c r="E123">
        <v>29</v>
      </c>
      <c r="F123" s="12">
        <v>3619</v>
      </c>
      <c r="G123">
        <v>37032</v>
      </c>
      <c r="H123" s="12">
        <f t="shared" si="33"/>
        <v>126.353184</v>
      </c>
      <c r="I123" s="12">
        <f t="shared" si="34"/>
        <v>3492.6468159999999</v>
      </c>
      <c r="L123">
        <f t="shared" si="35"/>
        <v>327</v>
      </c>
      <c r="M123" s="15">
        <f t="shared" si="28"/>
        <v>134.013124</v>
      </c>
      <c r="N123" s="15">
        <f t="shared" si="29"/>
        <v>834.98687599999994</v>
      </c>
      <c r="Q123">
        <f t="shared" si="38"/>
        <v>324</v>
      </c>
      <c r="R123">
        <v>29</v>
      </c>
      <c r="S123" s="12">
        <v>3622</v>
      </c>
      <c r="T123">
        <v>37059</v>
      </c>
      <c r="U123" s="12">
        <f t="shared" si="24"/>
        <v>126.445308</v>
      </c>
      <c r="V123" s="12">
        <f t="shared" si="25"/>
        <v>3495.5546920000002</v>
      </c>
      <c r="X123" s="11">
        <f t="shared" si="23"/>
        <v>3492.6468159999999</v>
      </c>
      <c r="Z123">
        <f t="shared" si="36"/>
        <v>327</v>
      </c>
      <c r="AA123" s="15">
        <f t="shared" si="30"/>
        <v>834.98687599999994</v>
      </c>
      <c r="AB123" s="15">
        <f t="shared" si="31"/>
        <v>835.03805599999998</v>
      </c>
      <c r="AC123" s="15">
        <f t="shared" si="32"/>
        <v>835.03805599999998</v>
      </c>
      <c r="AD123" s="30">
        <f t="shared" si="26"/>
        <v>0.99993870938021057</v>
      </c>
      <c r="AE123" s="18">
        <f t="shared" si="27"/>
        <v>834.98687599999994</v>
      </c>
      <c r="AH123" t="s">
        <v>75</v>
      </c>
      <c r="AI123" t="s">
        <v>76</v>
      </c>
      <c r="AJ123" t="s">
        <v>68</v>
      </c>
      <c r="AK123" t="s">
        <v>69</v>
      </c>
      <c r="AL123" t="s">
        <v>70</v>
      </c>
      <c r="AM123" t="s">
        <v>71</v>
      </c>
      <c r="AN123" t="s">
        <v>72</v>
      </c>
      <c r="AO123" t="s">
        <v>73</v>
      </c>
      <c r="AP123" t="s">
        <v>74</v>
      </c>
      <c r="AS123">
        <v>140</v>
      </c>
      <c r="AT123">
        <v>141</v>
      </c>
      <c r="AU123">
        <v>142</v>
      </c>
      <c r="AV123">
        <v>143</v>
      </c>
      <c r="AW123">
        <v>144</v>
      </c>
      <c r="AX123">
        <v>145</v>
      </c>
      <c r="AY123">
        <v>146</v>
      </c>
      <c r="AZ123">
        <v>147</v>
      </c>
      <c r="BA123">
        <v>148</v>
      </c>
      <c r="BB123">
        <v>149</v>
      </c>
      <c r="BC123">
        <v>150</v>
      </c>
      <c r="BD123">
        <v>151</v>
      </c>
    </row>
    <row r="124" spans="4:56" x14ac:dyDescent="0.2">
      <c r="D124">
        <f t="shared" si="37"/>
        <v>325</v>
      </c>
      <c r="E124">
        <v>28</v>
      </c>
      <c r="F124" s="12">
        <v>3722</v>
      </c>
      <c r="G124">
        <v>166598</v>
      </c>
      <c r="H124" s="12">
        <f t="shared" si="33"/>
        <v>568.43237599999998</v>
      </c>
      <c r="I124" s="12">
        <f t="shared" si="34"/>
        <v>3153.5676240000003</v>
      </c>
      <c r="L124">
        <f t="shared" si="35"/>
        <v>331</v>
      </c>
      <c r="M124" s="15">
        <f t="shared" si="28"/>
        <v>544.643912</v>
      </c>
      <c r="N124" s="15">
        <f t="shared" si="29"/>
        <v>2031.356088</v>
      </c>
      <c r="Q124">
        <f t="shared" si="38"/>
        <v>325</v>
      </c>
      <c r="R124">
        <v>28</v>
      </c>
      <c r="S124" s="12">
        <v>3704</v>
      </c>
      <c r="T124">
        <v>169233</v>
      </c>
      <c r="U124" s="12">
        <f t="shared" si="24"/>
        <v>577.42299600000001</v>
      </c>
      <c r="V124" s="12">
        <f t="shared" si="25"/>
        <v>3126.5770039999998</v>
      </c>
      <c r="X124" s="11">
        <f t="shared" si="23"/>
        <v>3153.5676240000003</v>
      </c>
      <c r="Z124">
        <f t="shared" si="36"/>
        <v>331</v>
      </c>
      <c r="AA124" s="15">
        <f t="shared" si="30"/>
        <v>2031.356088</v>
      </c>
      <c r="AB124" s="15">
        <f t="shared" si="31"/>
        <v>2010.4524719999999</v>
      </c>
      <c r="AC124" s="15">
        <f t="shared" si="32"/>
        <v>2010.4524719999999</v>
      </c>
      <c r="AD124" s="30">
        <f t="shared" si="26"/>
        <v>1.010397468376462</v>
      </c>
      <c r="AE124" s="18">
        <f t="shared" si="27"/>
        <v>2031.356088</v>
      </c>
    </row>
    <row r="125" spans="4:56" x14ac:dyDescent="0.2">
      <c r="D125">
        <f t="shared" si="37"/>
        <v>326</v>
      </c>
      <c r="E125">
        <v>30</v>
      </c>
      <c r="F125" s="12">
        <v>318</v>
      </c>
      <c r="G125">
        <v>52331</v>
      </c>
      <c r="H125" s="12">
        <f t="shared" si="33"/>
        <v>178.553372</v>
      </c>
      <c r="I125" s="12">
        <f t="shared" si="34"/>
        <v>139.446628</v>
      </c>
      <c r="L125">
        <f t="shared" si="35"/>
        <v>332</v>
      </c>
      <c r="M125" s="15">
        <f t="shared" si="28"/>
        <v>175.71458799999999</v>
      </c>
      <c r="N125" s="15">
        <f t="shared" si="29"/>
        <v>265.28541200000001</v>
      </c>
      <c r="Q125">
        <f t="shared" si="38"/>
        <v>326</v>
      </c>
      <c r="R125">
        <v>30</v>
      </c>
      <c r="S125" s="12">
        <v>327</v>
      </c>
      <c r="T125">
        <v>53517</v>
      </c>
      <c r="U125" s="12">
        <f t="shared" si="24"/>
        <v>182.60000399999998</v>
      </c>
      <c r="V125" s="12">
        <f t="shared" si="25"/>
        <v>144.39999600000002</v>
      </c>
      <c r="X125" s="11">
        <f t="shared" si="23"/>
        <v>139.446628</v>
      </c>
      <c r="Z125">
        <f t="shared" si="36"/>
        <v>332</v>
      </c>
      <c r="AA125" s="15">
        <f t="shared" si="30"/>
        <v>265.28541200000001</v>
      </c>
      <c r="AB125" s="15">
        <f>X128+$AE$142*X129-$AE$149*X128</f>
        <v>263.95721695999998</v>
      </c>
      <c r="AC125" s="15">
        <f>X128+$AE$142*X129-$AE$149*X128</f>
        <v>263.95721695999998</v>
      </c>
      <c r="AD125" s="30">
        <f t="shared" si="26"/>
        <v>1.0050318572657224</v>
      </c>
      <c r="AE125" s="18">
        <f t="shared" si="27"/>
        <v>265.28541200000001</v>
      </c>
      <c r="AF125">
        <v>2</v>
      </c>
      <c r="AJ125">
        <v>-1</v>
      </c>
      <c r="AK125">
        <v>-1</v>
      </c>
      <c r="AU125">
        <v>1</v>
      </c>
      <c r="BB125">
        <v>-1</v>
      </c>
    </row>
    <row r="126" spans="4:56" x14ac:dyDescent="0.2">
      <c r="D126">
        <f t="shared" si="37"/>
        <v>327</v>
      </c>
      <c r="E126">
        <v>32</v>
      </c>
      <c r="F126" s="12">
        <v>969</v>
      </c>
      <c r="G126">
        <v>39262</v>
      </c>
      <c r="H126" s="12">
        <f t="shared" si="33"/>
        <v>133.96194399999999</v>
      </c>
      <c r="I126" s="12">
        <f t="shared" si="34"/>
        <v>835.03805599999998</v>
      </c>
      <c r="L126">
        <f t="shared" si="35"/>
        <v>333</v>
      </c>
      <c r="M126" s="15">
        <f t="shared" si="28"/>
        <v>96.143335999999991</v>
      </c>
      <c r="N126" s="15">
        <f t="shared" si="29"/>
        <v>116.85666400000001</v>
      </c>
      <c r="Q126">
        <f t="shared" si="38"/>
        <v>327</v>
      </c>
      <c r="R126">
        <v>32</v>
      </c>
      <c r="S126" s="12">
        <v>969</v>
      </c>
      <c r="T126">
        <v>39277</v>
      </c>
      <c r="U126" s="12">
        <f t="shared" si="24"/>
        <v>134.013124</v>
      </c>
      <c r="V126" s="12">
        <f t="shared" si="25"/>
        <v>834.98687599999994</v>
      </c>
      <c r="X126" s="11">
        <f t="shared" si="23"/>
        <v>835.03805599999998</v>
      </c>
      <c r="Z126">
        <f t="shared" si="36"/>
        <v>333</v>
      </c>
      <c r="AA126" s="15">
        <f t="shared" si="30"/>
        <v>116.85666400000001</v>
      </c>
      <c r="AB126" s="15">
        <f>X129-$AE$142*X129-$AE$140*X129-$AE$141*X129+$AE$146*X130</f>
        <v>117.96876208000002</v>
      </c>
      <c r="AC126" s="15">
        <f>X129-$AE$142*X129-$AE$140*X129-$AE$141*X129+$AE$146*X130</f>
        <v>117.96876208000002</v>
      </c>
      <c r="AD126" s="30">
        <f t="shared" si="26"/>
        <v>0.99057294439314503</v>
      </c>
      <c r="AE126" s="18">
        <f t="shared" si="27"/>
        <v>116.85666400000001</v>
      </c>
      <c r="AF126">
        <v>4</v>
      </c>
      <c r="AK126">
        <v>-3</v>
      </c>
      <c r="AL126">
        <v>1</v>
      </c>
      <c r="AS126">
        <v>-1</v>
      </c>
      <c r="AT126">
        <v>-1</v>
      </c>
      <c r="AU126">
        <v>-1</v>
      </c>
      <c r="AY126">
        <f>1</f>
        <v>1</v>
      </c>
    </row>
    <row r="127" spans="4:56" x14ac:dyDescent="0.2">
      <c r="D127">
        <f t="shared" si="37"/>
        <v>331</v>
      </c>
      <c r="E127">
        <v>33</v>
      </c>
      <c r="F127" s="12">
        <v>2570</v>
      </c>
      <c r="G127">
        <v>163994</v>
      </c>
      <c r="H127" s="12">
        <f t="shared" si="33"/>
        <v>559.54752799999994</v>
      </c>
      <c r="I127" s="12">
        <f t="shared" si="34"/>
        <v>2010.4524719999999</v>
      </c>
      <c r="L127">
        <f t="shared" si="35"/>
        <v>334</v>
      </c>
      <c r="M127" s="15">
        <f t="shared" si="28"/>
        <v>137.186284</v>
      </c>
      <c r="N127" s="15">
        <f t="shared" si="29"/>
        <v>67.813715999999999</v>
      </c>
      <c r="Q127">
        <f t="shared" si="38"/>
        <v>331</v>
      </c>
      <c r="R127">
        <v>33</v>
      </c>
      <c r="S127" s="12">
        <v>2576</v>
      </c>
      <c r="T127">
        <v>159626</v>
      </c>
      <c r="U127" s="12">
        <f t="shared" si="24"/>
        <v>544.643912</v>
      </c>
      <c r="V127" s="12">
        <f t="shared" si="25"/>
        <v>2031.356088</v>
      </c>
      <c r="X127" s="11">
        <f t="shared" si="23"/>
        <v>2010.4524719999999</v>
      </c>
      <c r="Z127">
        <f t="shared" si="36"/>
        <v>334</v>
      </c>
      <c r="AA127" s="15">
        <f t="shared" si="30"/>
        <v>67.813715999999999</v>
      </c>
      <c r="AB127" s="15">
        <f>$AE$140*X129+$AE$153*X130+$AE$151*X131</f>
        <v>66.258774840000001</v>
      </c>
      <c r="AC127">
        <f>$AE$140*X129+$AE$153*X130+$AE$151*X131</f>
        <v>66.258774840000001</v>
      </c>
      <c r="AD127" s="30">
        <f t="shared" si="26"/>
        <v>1.0234677016554385</v>
      </c>
      <c r="AE127" s="18">
        <f t="shared" si="27"/>
        <v>67.813715999999999</v>
      </c>
      <c r="AF127">
        <v>3</v>
      </c>
      <c r="AK127">
        <v>1</v>
      </c>
      <c r="AL127">
        <v>1</v>
      </c>
      <c r="AM127">
        <v>1</v>
      </c>
      <c r="AS127">
        <v>1</v>
      </c>
      <c r="AX127">
        <v>1</v>
      </c>
      <c r="BD127">
        <v>1</v>
      </c>
    </row>
    <row r="128" spans="4:56" x14ac:dyDescent="0.2">
      <c r="D128">
        <f t="shared" si="37"/>
        <v>332</v>
      </c>
      <c r="E128">
        <v>34</v>
      </c>
      <c r="F128" s="12">
        <v>409</v>
      </c>
      <c r="G128">
        <v>48219</v>
      </c>
      <c r="H128" s="12">
        <f t="shared" si="33"/>
        <v>164.52322800000002</v>
      </c>
      <c r="I128" s="12">
        <f t="shared" si="34"/>
        <v>244.47677199999998</v>
      </c>
      <c r="L128">
        <f t="shared" si="35"/>
        <v>335</v>
      </c>
      <c r="M128" s="15">
        <f t="shared" si="28"/>
        <v>55.328992</v>
      </c>
      <c r="N128" s="15">
        <f t="shared" si="29"/>
        <v>60.671008</v>
      </c>
      <c r="Q128">
        <f t="shared" si="38"/>
        <v>332</v>
      </c>
      <c r="R128">
        <v>34</v>
      </c>
      <c r="S128" s="12">
        <v>441</v>
      </c>
      <c r="T128">
        <v>51499</v>
      </c>
      <c r="U128" s="12">
        <f t="shared" si="24"/>
        <v>175.71458799999999</v>
      </c>
      <c r="V128" s="12">
        <f t="shared" si="25"/>
        <v>265.28541200000001</v>
      </c>
      <c r="X128" s="11">
        <f t="shared" si="23"/>
        <v>244.47677199999998</v>
      </c>
      <c r="Z128">
        <f t="shared" si="36"/>
        <v>335</v>
      </c>
      <c r="AA128" s="15">
        <f t="shared" si="30"/>
        <v>60.671008</v>
      </c>
      <c r="AB128" s="15">
        <f>(1-$AE$150-$AE$151)*X131</f>
        <v>67.946104799999986</v>
      </c>
      <c r="AC128">
        <f>(1-$AE$150-$AE$151)*X131</f>
        <v>67.946104799999986</v>
      </c>
      <c r="AD128" s="30">
        <f t="shared" si="26"/>
        <v>0.8929284199379155</v>
      </c>
      <c r="AE128" s="18">
        <f t="shared" si="27"/>
        <v>60.671008</v>
      </c>
      <c r="AF128">
        <v>2</v>
      </c>
      <c r="AN128">
        <v>-2</v>
      </c>
      <c r="BC128">
        <v>-1</v>
      </c>
      <c r="BD128">
        <v>-1</v>
      </c>
    </row>
    <row r="129" spans="4:55" x14ac:dyDescent="0.2">
      <c r="D129">
        <f t="shared" si="37"/>
        <v>333</v>
      </c>
      <c r="E129">
        <v>35</v>
      </c>
      <c r="F129" s="12">
        <v>278</v>
      </c>
      <c r="G129">
        <v>38577</v>
      </c>
      <c r="H129" s="12">
        <f t="shared" si="33"/>
        <v>131.62472399999999</v>
      </c>
      <c r="I129" s="12">
        <f t="shared" si="34"/>
        <v>146.37527600000001</v>
      </c>
      <c r="L129">
        <f t="shared" si="35"/>
        <v>336</v>
      </c>
      <c r="M129" s="15">
        <f t="shared" si="28"/>
        <v>195.244876</v>
      </c>
      <c r="N129" s="15">
        <f t="shared" si="29"/>
        <v>292.75512400000002</v>
      </c>
      <c r="Q129">
        <f t="shared" si="38"/>
        <v>333</v>
      </c>
      <c r="R129">
        <v>35</v>
      </c>
      <c r="S129" s="12">
        <v>213</v>
      </c>
      <c r="T129">
        <v>28178</v>
      </c>
      <c r="U129" s="12">
        <f t="shared" si="24"/>
        <v>96.143335999999991</v>
      </c>
      <c r="V129" s="12">
        <f t="shared" si="25"/>
        <v>116.85666400000001</v>
      </c>
      <c r="X129" s="11">
        <f t="shared" si="23"/>
        <v>146.37527600000001</v>
      </c>
      <c r="Z129">
        <f t="shared" si="36"/>
        <v>336</v>
      </c>
      <c r="AA129" s="15">
        <f t="shared" si="30"/>
        <v>292.75512400000002</v>
      </c>
      <c r="AB129" s="15">
        <f>X132+$AE$149*X128+AD$141*X129+$AE$150*X131</f>
        <v>278.82884596000002</v>
      </c>
      <c r="AC129" s="15">
        <f>X132+$AE$149*X128+AE$141*X129+$AE$150*X131</f>
        <v>278.82884596000002</v>
      </c>
      <c r="AD129" s="30">
        <f t="shared" si="26"/>
        <v>1.0499456144576871</v>
      </c>
      <c r="AE129" s="18">
        <f t="shared" si="27"/>
        <v>292.75512400000002</v>
      </c>
      <c r="AF129">
        <v>3</v>
      </c>
      <c r="AH129">
        <v>1</v>
      </c>
      <c r="AJ129">
        <v>1</v>
      </c>
      <c r="AM129">
        <v>1</v>
      </c>
      <c r="AT129">
        <v>1</v>
      </c>
      <c r="BB129">
        <v>1</v>
      </c>
      <c r="BC129">
        <v>1</v>
      </c>
    </row>
    <row r="130" spans="4:55" x14ac:dyDescent="0.2">
      <c r="D130">
        <f t="shared" si="37"/>
        <v>334</v>
      </c>
      <c r="E130" s="3">
        <v>38</v>
      </c>
      <c r="F130" s="12">
        <v>115</v>
      </c>
      <c r="G130">
        <v>15696</v>
      </c>
      <c r="H130" s="12">
        <f t="shared" si="33"/>
        <v>53.554752000000001</v>
      </c>
      <c r="I130" s="12">
        <f t="shared" si="34"/>
        <v>61.445247999999999</v>
      </c>
      <c r="L130">
        <f t="shared" si="35"/>
        <v>337</v>
      </c>
      <c r="M130" s="15">
        <f t="shared" si="28"/>
        <v>29.500152</v>
      </c>
      <c r="N130" s="15">
        <f t="shared" si="29"/>
        <v>58.499848</v>
      </c>
      <c r="Q130">
        <f t="shared" si="38"/>
        <v>334</v>
      </c>
      <c r="R130" s="3">
        <v>38</v>
      </c>
      <c r="S130" s="12">
        <v>205</v>
      </c>
      <c r="T130">
        <v>40207</v>
      </c>
      <c r="U130" s="12">
        <f t="shared" si="24"/>
        <v>137.186284</v>
      </c>
      <c r="V130" s="12">
        <f t="shared" si="25"/>
        <v>67.813715999999999</v>
      </c>
      <c r="X130" s="11">
        <f t="shared" si="23"/>
        <v>61.445247999999999</v>
      </c>
      <c r="Z130">
        <f t="shared" si="36"/>
        <v>337</v>
      </c>
      <c r="AA130" s="15">
        <f t="shared" si="30"/>
        <v>58.499848</v>
      </c>
      <c r="AB130" s="15">
        <f>X133</f>
        <v>52.580883999999998</v>
      </c>
      <c r="AC130" s="15">
        <f>X133</f>
        <v>52.580883999999998</v>
      </c>
      <c r="AD130" s="30">
        <f t="shared" si="26"/>
        <v>1.1125687426632083</v>
      </c>
      <c r="AE130" s="18">
        <f t="shared" si="27"/>
        <v>58.499848</v>
      </c>
    </row>
    <row r="131" spans="4:55" x14ac:dyDescent="0.2">
      <c r="D131">
        <f t="shared" si="37"/>
        <v>335</v>
      </c>
      <c r="E131">
        <v>36</v>
      </c>
      <c r="F131">
        <v>256</v>
      </c>
      <c r="G131">
        <v>43420</v>
      </c>
      <c r="H131" s="12">
        <f t="shared" si="33"/>
        <v>148.14904000000001</v>
      </c>
      <c r="I131" s="12">
        <f t="shared" si="34"/>
        <v>107.85095999999999</v>
      </c>
      <c r="L131">
        <f t="shared" si="35"/>
        <v>339</v>
      </c>
      <c r="M131" s="15">
        <f t="shared" si="28"/>
        <v>40.299132</v>
      </c>
      <c r="N131" s="15">
        <f t="shared" si="29"/>
        <v>47.700868</v>
      </c>
      <c r="Q131">
        <f t="shared" si="38"/>
        <v>335</v>
      </c>
      <c r="R131">
        <v>36</v>
      </c>
      <c r="S131">
        <v>116</v>
      </c>
      <c r="T131">
        <v>16216</v>
      </c>
      <c r="U131" s="12">
        <f t="shared" si="24"/>
        <v>55.328992</v>
      </c>
      <c r="V131" s="12">
        <f t="shared" si="25"/>
        <v>60.671008</v>
      </c>
      <c r="X131" s="11">
        <f t="shared" si="23"/>
        <v>107.85095999999999</v>
      </c>
      <c r="Z131">
        <f t="shared" si="36"/>
        <v>339</v>
      </c>
      <c r="AA131" s="15">
        <f t="shared" si="30"/>
        <v>47.700868</v>
      </c>
      <c r="AB131" s="15">
        <f>X134+$AE$147*X130</f>
        <v>50.927187359999998</v>
      </c>
      <c r="AC131">
        <f>X134+$AE$147*X130</f>
        <v>50.927187359999998</v>
      </c>
      <c r="AD131" s="30">
        <f t="shared" si="26"/>
        <v>0.93664838905802084</v>
      </c>
      <c r="AE131" s="18">
        <f t="shared" si="27"/>
        <v>47.700868</v>
      </c>
      <c r="AF131">
        <v>1</v>
      </c>
      <c r="AL131">
        <v>1</v>
      </c>
      <c r="AO131">
        <v>1</v>
      </c>
    </row>
    <row r="132" spans="4:55" x14ac:dyDescent="0.2">
      <c r="D132">
        <f t="shared" si="37"/>
        <v>336</v>
      </c>
      <c r="E132">
        <v>37</v>
      </c>
      <c r="F132" s="12">
        <v>421</v>
      </c>
      <c r="G132">
        <v>48806</v>
      </c>
      <c r="H132" s="12">
        <f t="shared" si="33"/>
        <v>166.526072</v>
      </c>
      <c r="I132" s="12">
        <f t="shared" si="34"/>
        <v>254.473928</v>
      </c>
      <c r="M132" s="15">
        <f>SUM(M114:M131)</f>
        <v>3034.8852880000004</v>
      </c>
      <c r="N132" s="15">
        <f>SUM(N114:N131)</f>
        <v>14659.114711999997</v>
      </c>
      <c r="Q132">
        <f t="shared" si="38"/>
        <v>336</v>
      </c>
      <c r="R132">
        <v>37</v>
      </c>
      <c r="S132" s="12">
        <v>488</v>
      </c>
      <c r="T132">
        <v>57223</v>
      </c>
      <c r="U132" s="12">
        <f t="shared" si="24"/>
        <v>195.244876</v>
      </c>
      <c r="V132" s="12">
        <f t="shared" si="25"/>
        <v>292.75512400000002</v>
      </c>
      <c r="X132" s="11">
        <f t="shared" si="23"/>
        <v>254.473928</v>
      </c>
      <c r="AA132" s="15">
        <f>SUM(AA114:AA131)</f>
        <v>14659.114711999997</v>
      </c>
      <c r="AB132" s="15">
        <f>SUM(AB114:AB131)</f>
        <v>14731.700419999999</v>
      </c>
      <c r="AC132" s="15">
        <f>SUM(AC114:AC131)</f>
        <v>14731.700419999999</v>
      </c>
      <c r="AD132" s="15"/>
      <c r="AE132" s="15">
        <f>SUM(AE114:AE131)</f>
        <v>14659.114711999997</v>
      </c>
      <c r="AF132">
        <f>SUM(AF125:AF131)</f>
        <v>15</v>
      </c>
      <c r="AO132" t="s">
        <v>67</v>
      </c>
    </row>
    <row r="133" spans="4:55" x14ac:dyDescent="0.2">
      <c r="D133">
        <f t="shared" si="37"/>
        <v>337</v>
      </c>
      <c r="E133">
        <v>25</v>
      </c>
      <c r="F133" s="12">
        <v>79</v>
      </c>
      <c r="G133">
        <v>7743</v>
      </c>
      <c r="H133" s="12">
        <f t="shared" si="33"/>
        <v>26.419115999999999</v>
      </c>
      <c r="I133" s="12">
        <f t="shared" si="34"/>
        <v>52.580883999999998</v>
      </c>
      <c r="Q133">
        <f t="shared" si="38"/>
        <v>337</v>
      </c>
      <c r="R133">
        <v>25</v>
      </c>
      <c r="S133" s="12">
        <v>88</v>
      </c>
      <c r="T133">
        <v>8646</v>
      </c>
      <c r="U133" s="12">
        <f t="shared" si="24"/>
        <v>29.500152</v>
      </c>
      <c r="V133" s="12">
        <f t="shared" si="25"/>
        <v>58.499848</v>
      </c>
      <c r="X133" s="11">
        <f t="shared" si="23"/>
        <v>52.580883999999998</v>
      </c>
    </row>
    <row r="134" spans="4:55" x14ac:dyDescent="0.2">
      <c r="D134">
        <f t="shared" si="37"/>
        <v>339</v>
      </c>
      <c r="E134">
        <v>39</v>
      </c>
      <c r="F134" s="12">
        <v>50</v>
      </c>
      <c r="G134">
        <v>5491</v>
      </c>
      <c r="H134" s="12">
        <f t="shared" si="33"/>
        <v>18.735292000000001</v>
      </c>
      <c r="I134" s="12">
        <f t="shared" si="34"/>
        <v>31.264707999999999</v>
      </c>
      <c r="Q134">
        <f t="shared" si="38"/>
        <v>339</v>
      </c>
      <c r="R134">
        <v>39</v>
      </c>
      <c r="S134" s="12">
        <v>88</v>
      </c>
      <c r="T134">
        <v>11811</v>
      </c>
      <c r="U134" s="12">
        <f t="shared" si="24"/>
        <v>40.299132</v>
      </c>
      <c r="V134" s="12">
        <f t="shared" si="25"/>
        <v>47.700868</v>
      </c>
      <c r="X134" s="11">
        <f t="shared" si="23"/>
        <v>31.264707999999999</v>
      </c>
    </row>
    <row r="135" spans="4:55" x14ac:dyDescent="0.2">
      <c r="F135" s="15">
        <f>SUM(F114:F134)</f>
        <v>17822</v>
      </c>
      <c r="G135" s="15">
        <f>SUM(G114:G134)</f>
        <v>905715</v>
      </c>
      <c r="H135" s="15">
        <f>SUM(H114:H134)</f>
        <v>3090.2995799999999</v>
      </c>
      <c r="I135" s="15">
        <f>SUM(I114:I134)</f>
        <v>14731.700420000001</v>
      </c>
      <c r="S135" s="15">
        <f>SUM(S114:S134)</f>
        <v>17694</v>
      </c>
      <c r="T135" s="15">
        <f>SUM(T114:T134)</f>
        <v>889474</v>
      </c>
      <c r="U135" s="15">
        <f>SUM(U114:U134)</f>
        <v>3034.8852880000004</v>
      </c>
      <c r="V135" s="15">
        <f>SUM(V114:V134)</f>
        <v>14659.114711999997</v>
      </c>
      <c r="X135" s="15">
        <f>SUM(X114:X134)</f>
        <v>14731.700420000001</v>
      </c>
    </row>
    <row r="136" spans="4:55" x14ac:dyDescent="0.2">
      <c r="AS136" t="s">
        <v>82</v>
      </c>
    </row>
    <row r="137" spans="4:55" x14ac:dyDescent="0.2">
      <c r="F137" s="12"/>
      <c r="X137" t="s">
        <v>57</v>
      </c>
      <c r="AI137" t="s">
        <v>89</v>
      </c>
      <c r="AS137" t="s">
        <v>57</v>
      </c>
    </row>
    <row r="138" spans="4:55" x14ac:dyDescent="0.2">
      <c r="D138">
        <v>2002</v>
      </c>
      <c r="E138" t="s">
        <v>38</v>
      </c>
      <c r="F138" t="s">
        <v>95</v>
      </c>
      <c r="J138" s="31"/>
      <c r="L138" t="s">
        <v>94</v>
      </c>
      <c r="X138" t="s">
        <v>54</v>
      </c>
      <c r="AD138">
        <v>1998</v>
      </c>
      <c r="AI138">
        <f t="shared" ref="AI138:AI151" si="39">AY138</f>
        <v>1988</v>
      </c>
      <c r="AK138">
        <v>1991</v>
      </c>
      <c r="AM138">
        <v>1994</v>
      </c>
      <c r="AO138">
        <v>1998</v>
      </c>
      <c r="AS138" t="s">
        <v>54</v>
      </c>
      <c r="AY138">
        <v>1988</v>
      </c>
    </row>
    <row r="139" spans="4:55" ht="34.5" thickBot="1" x14ac:dyDescent="0.25">
      <c r="F139" s="10" t="s">
        <v>33</v>
      </c>
      <c r="G139" s="11" t="s">
        <v>34</v>
      </c>
      <c r="H139" s="11" t="s">
        <v>35</v>
      </c>
      <c r="I139" s="11" t="s">
        <v>36</v>
      </c>
      <c r="J139" s="32"/>
      <c r="M139" s="17" t="s">
        <v>35</v>
      </c>
      <c r="N139" s="17" t="s">
        <v>36</v>
      </c>
      <c r="AD139" t="s">
        <v>77</v>
      </c>
      <c r="AE139" s="3" t="s">
        <v>78</v>
      </c>
      <c r="AI139" t="str">
        <f t="shared" si="39"/>
        <v>Initial</v>
      </c>
      <c r="AJ139" t="str">
        <f t="shared" ref="AJ139:AJ147" si="40">AZ139</f>
        <v>Adjusted</v>
      </c>
      <c r="AL139" t="s">
        <v>78</v>
      </c>
      <c r="AN139" t="str">
        <f>AE139</f>
        <v>Adjusted</v>
      </c>
      <c r="AP139" t="s">
        <v>78</v>
      </c>
      <c r="AY139" t="s">
        <v>77</v>
      </c>
      <c r="AZ139" s="3" t="s">
        <v>78</v>
      </c>
    </row>
    <row r="140" spans="4:55" x14ac:dyDescent="0.2">
      <c r="D140" s="2">
        <v>311</v>
      </c>
      <c r="F140" s="12">
        <v>1116</v>
      </c>
      <c r="G140" s="12">
        <v>67521</v>
      </c>
      <c r="H140" s="12">
        <f>G140*3.412*0.001</f>
        <v>230.381652</v>
      </c>
      <c r="I140" s="12">
        <f>F140-H140</f>
        <v>885.61834799999997</v>
      </c>
      <c r="J140" s="19"/>
      <c r="L140" t="s">
        <v>12</v>
      </c>
      <c r="M140" s="15">
        <f>H140+H141</f>
        <v>256.44592</v>
      </c>
      <c r="N140" s="15">
        <f>I140+I141</f>
        <v>963.55408</v>
      </c>
      <c r="X140" t="s">
        <v>46</v>
      </c>
      <c r="AD140" s="20">
        <v>0.05</v>
      </c>
      <c r="AE140" s="20">
        <f>AD140</f>
        <v>0.05</v>
      </c>
      <c r="AF140">
        <f>AD140*X129</f>
        <v>7.318763800000001</v>
      </c>
      <c r="AI140" s="35">
        <f t="shared" si="39"/>
        <v>0.06</v>
      </c>
      <c r="AJ140" s="35">
        <f t="shared" si="40"/>
        <v>0.06</v>
      </c>
      <c r="AL140" s="36">
        <f t="shared" ref="AL140:AL147" si="41">0.7*AJ140+0.3*AP140</f>
        <v>5.6999999999999995E-2</v>
      </c>
      <c r="AN140" s="36">
        <f t="shared" ref="AN140:AN147" si="42">0.4*AJ140+0.6*AP140</f>
        <v>5.3999999999999999E-2</v>
      </c>
      <c r="AP140" s="20">
        <f t="shared" ref="AP140:AP147" si="43">AE140</f>
        <v>0.05</v>
      </c>
      <c r="AR140">
        <f>39.8/622.4</f>
        <v>6.3946015424164518E-2</v>
      </c>
      <c r="AS140" t="s">
        <v>83</v>
      </c>
      <c r="AY140" s="20">
        <v>0.06</v>
      </c>
      <c r="AZ140" s="20">
        <v>0.06</v>
      </c>
    </row>
    <row r="141" spans="4:55" x14ac:dyDescent="0.2">
      <c r="D141" s="2">
        <v>312</v>
      </c>
      <c r="F141" s="19">
        <v>104</v>
      </c>
      <c r="G141" s="12">
        <v>7639</v>
      </c>
      <c r="H141" s="12">
        <f>G141*3.412*0.001</f>
        <v>26.064268000000002</v>
      </c>
      <c r="I141" s="12">
        <f>F141-H141</f>
        <v>77.935732000000002</v>
      </c>
      <c r="J141" s="19"/>
      <c r="L141" t="s">
        <v>13</v>
      </c>
      <c r="M141" s="15">
        <f>H142+H143</f>
        <v>86.224652000000006</v>
      </c>
      <c r="N141" s="15">
        <f>I142+I143</f>
        <v>118.77534799999999</v>
      </c>
      <c r="X141" t="s">
        <v>47</v>
      </c>
      <c r="AC141">
        <f>11/658.2</f>
        <v>1.6712245518079611E-2</v>
      </c>
      <c r="AD141" s="20">
        <v>0.02</v>
      </c>
      <c r="AE141" s="20">
        <f>AD141</f>
        <v>0.02</v>
      </c>
      <c r="AF141">
        <f>AD141*X129</f>
        <v>2.9275055200000004</v>
      </c>
      <c r="AI141" s="35">
        <f t="shared" si="39"/>
        <v>0.02</v>
      </c>
      <c r="AJ141" s="35">
        <f t="shared" si="40"/>
        <v>0.02</v>
      </c>
      <c r="AL141" s="36">
        <f t="shared" si="41"/>
        <v>1.9999999999999997E-2</v>
      </c>
      <c r="AN141" s="36">
        <f t="shared" si="42"/>
        <v>0.02</v>
      </c>
      <c r="AP141" s="20">
        <f t="shared" si="43"/>
        <v>0.02</v>
      </c>
      <c r="AS141" t="s">
        <v>84</v>
      </c>
      <c r="AX141">
        <f>12.5/622.4</f>
        <v>2.0083547557840618E-2</v>
      </c>
      <c r="AY141" s="20">
        <v>0.02</v>
      </c>
      <c r="AZ141" s="20">
        <f>AY141</f>
        <v>0.02</v>
      </c>
    </row>
    <row r="142" spans="4:55" x14ac:dyDescent="0.2">
      <c r="D142" s="2">
        <v>313</v>
      </c>
      <c r="F142" s="12">
        <v>205</v>
      </c>
      <c r="G142" s="12">
        <v>25271</v>
      </c>
      <c r="H142" s="12">
        <f>G142*3.412*0.001</f>
        <v>86.224652000000006</v>
      </c>
      <c r="I142" s="12">
        <f>F142-H142</f>
        <v>118.77534799999999</v>
      </c>
      <c r="J142" s="19"/>
      <c r="L142" t="s">
        <v>14</v>
      </c>
      <c r="M142" s="15">
        <f>H144+H145</f>
        <v>14.685248</v>
      </c>
      <c r="N142" s="15">
        <f>I144+I145</f>
        <v>22.314752000000002</v>
      </c>
      <c r="X142" t="s">
        <v>48</v>
      </c>
      <c r="AC142">
        <f>98.8/638.7</f>
        <v>0.15468921246281508</v>
      </c>
      <c r="AD142" s="20">
        <v>0.15</v>
      </c>
      <c r="AE142" s="22">
        <v>0.25</v>
      </c>
      <c r="AF142">
        <f>AD142*X129</f>
        <v>21.956291400000001</v>
      </c>
      <c r="AG142" t="s">
        <v>66</v>
      </c>
      <c r="AI142" s="35">
        <f t="shared" si="39"/>
        <v>0.12</v>
      </c>
      <c r="AJ142" s="35">
        <f t="shared" si="40"/>
        <v>0.18</v>
      </c>
      <c r="AL142" s="36">
        <f t="shared" si="41"/>
        <v>0.20100000000000001</v>
      </c>
      <c r="AN142" s="36">
        <f t="shared" si="42"/>
        <v>0.22199999999999998</v>
      </c>
      <c r="AP142" s="20">
        <f t="shared" si="43"/>
        <v>0.25</v>
      </c>
      <c r="AS142" t="s">
        <v>85</v>
      </c>
      <c r="AX142">
        <f>70.18/622.4</f>
        <v>0.11275706940874038</v>
      </c>
      <c r="AY142" s="20">
        <v>0.12</v>
      </c>
      <c r="AZ142" s="22">
        <v>0.18</v>
      </c>
    </row>
    <row r="143" spans="4:55" x14ac:dyDescent="0.2">
      <c r="D143">
        <v>314</v>
      </c>
      <c r="F143" s="12">
        <v>60</v>
      </c>
      <c r="G143" s="12">
        <v>4875</v>
      </c>
      <c r="J143" s="31"/>
      <c r="L143">
        <v>321</v>
      </c>
      <c r="M143" s="15">
        <f t="shared" ref="M143:M157" si="44">H146</f>
        <v>71.600819999999999</v>
      </c>
      <c r="N143" s="15">
        <f t="shared" ref="N143:N157" si="45">I146</f>
        <v>303.39918</v>
      </c>
      <c r="X143" t="s">
        <v>49</v>
      </c>
      <c r="AC143">
        <f>27.4/219.1</f>
        <v>0.12505705157462346</v>
      </c>
      <c r="AD143" s="20">
        <v>0.13</v>
      </c>
      <c r="AE143" s="20">
        <f>AD143</f>
        <v>0.13</v>
      </c>
      <c r="AF143">
        <f>AD143*X130</f>
        <v>7.9878822400000002</v>
      </c>
      <c r="AI143" s="35">
        <f t="shared" si="39"/>
        <v>0.14000000000000001</v>
      </c>
      <c r="AJ143" s="35">
        <f t="shared" si="40"/>
        <v>0.14000000000000001</v>
      </c>
      <c r="AL143" s="36">
        <f t="shared" si="41"/>
        <v>0.13700000000000001</v>
      </c>
      <c r="AN143" s="36">
        <f t="shared" si="42"/>
        <v>0.13400000000000001</v>
      </c>
      <c r="AP143" s="20">
        <f t="shared" si="43"/>
        <v>0.13</v>
      </c>
      <c r="AS143" t="s">
        <v>86</v>
      </c>
      <c r="AX143">
        <f>29.5/207.3</f>
        <v>0.14230583695127832</v>
      </c>
      <c r="AY143" s="20">
        <v>0.14000000000000001</v>
      </c>
      <c r="AZ143" s="20">
        <f>AY143</f>
        <v>0.14000000000000001</v>
      </c>
    </row>
    <row r="144" spans="4:55" x14ac:dyDescent="0.2">
      <c r="D144">
        <v>315</v>
      </c>
      <c r="F144">
        <v>30</v>
      </c>
      <c r="G144">
        <v>3588</v>
      </c>
      <c r="H144" s="12">
        <f t="shared" ref="H144:H160" si="46">G144*3.412*0.001</f>
        <v>12.242255999999999</v>
      </c>
      <c r="I144" s="12">
        <f t="shared" ref="I144:I160" si="47">F144-H144</f>
        <v>17.757744000000002</v>
      </c>
      <c r="J144" s="19"/>
      <c r="L144">
        <f t="shared" ref="L144:L157" si="48">D147</f>
        <v>322</v>
      </c>
      <c r="M144" s="15">
        <f t="shared" si="44"/>
        <v>223.49623600000001</v>
      </c>
      <c r="N144" s="15">
        <f t="shared" si="45"/>
        <v>2137.503764</v>
      </c>
      <c r="X144">
        <f>(6.2+6.7+4.3+16.2)</f>
        <v>33.4</v>
      </c>
      <c r="Y144" t="s">
        <v>52</v>
      </c>
      <c r="AC144">
        <f>X144/219.1</f>
        <v>0.15244180739388408</v>
      </c>
      <c r="AD144" s="20">
        <v>0.15</v>
      </c>
      <c r="AE144" s="20">
        <f>AD144</f>
        <v>0.15</v>
      </c>
      <c r="AF144">
        <f>AD144*X130</f>
        <v>9.2167871999999988</v>
      </c>
      <c r="AI144" s="35">
        <f t="shared" si="39"/>
        <v>0.15</v>
      </c>
      <c r="AJ144" s="35">
        <f t="shared" si="40"/>
        <v>0.15</v>
      </c>
      <c r="AL144" s="36">
        <f t="shared" si="41"/>
        <v>0.15</v>
      </c>
      <c r="AN144" s="36">
        <f t="shared" si="42"/>
        <v>0.15</v>
      </c>
      <c r="AP144" s="20">
        <f t="shared" si="43"/>
        <v>0.15</v>
      </c>
      <c r="AS144">
        <f>(4.8+12+2.7+13.8)</f>
        <v>33.299999999999997</v>
      </c>
      <c r="AT144" t="s">
        <v>52</v>
      </c>
      <c r="AX144">
        <f>AS144/207.3</f>
        <v>0.1606367583212735</v>
      </c>
      <c r="AY144" s="20">
        <v>0.15</v>
      </c>
      <c r="AZ144" s="20">
        <f>AY144</f>
        <v>0.15</v>
      </c>
    </row>
    <row r="145" spans="4:52" x14ac:dyDescent="0.2">
      <c r="D145">
        <v>316</v>
      </c>
      <c r="F145" s="19">
        <v>7</v>
      </c>
      <c r="G145">
        <v>716</v>
      </c>
      <c r="H145" s="12">
        <f t="shared" si="46"/>
        <v>2.4429919999999998</v>
      </c>
      <c r="I145" s="12">
        <f t="shared" si="47"/>
        <v>4.5570079999999997</v>
      </c>
      <c r="J145" s="31"/>
      <c r="L145">
        <f t="shared" si="48"/>
        <v>323</v>
      </c>
      <c r="M145" s="15">
        <f t="shared" si="44"/>
        <v>50.204167999999996</v>
      </c>
      <c r="N145" s="15">
        <f t="shared" si="45"/>
        <v>47.795832000000004</v>
      </c>
      <c r="X145">
        <f>(8.9+3.9+4.8+1.3)</f>
        <v>18.900000000000002</v>
      </c>
      <c r="Y145" t="s">
        <v>65</v>
      </c>
      <c r="AC145">
        <f>18.9/219.1</f>
        <v>8.6261980830670923E-2</v>
      </c>
      <c r="AD145" s="20">
        <v>0.09</v>
      </c>
      <c r="AE145" s="21">
        <v>0.38</v>
      </c>
      <c r="AF145">
        <f>AD145*X130</f>
        <v>5.5300723199999995</v>
      </c>
      <c r="AI145" s="35">
        <f t="shared" si="39"/>
        <v>0.05</v>
      </c>
      <c r="AJ145" s="35">
        <f t="shared" si="40"/>
        <v>0.34</v>
      </c>
      <c r="AL145" s="36">
        <f t="shared" si="41"/>
        <v>0.35199999999999998</v>
      </c>
      <c r="AN145" s="36">
        <f t="shared" si="42"/>
        <v>0.36399999999999999</v>
      </c>
      <c r="AP145" s="20">
        <f t="shared" si="43"/>
        <v>0.38</v>
      </c>
      <c r="AS145">
        <f>(5+2+2.5+1.6)</f>
        <v>11.1</v>
      </c>
      <c r="AT145" t="s">
        <v>65</v>
      </c>
      <c r="AX145">
        <f>11.1/207.3</f>
        <v>5.3545586107091168E-2</v>
      </c>
      <c r="AY145" s="20">
        <v>0.05</v>
      </c>
      <c r="AZ145" s="21">
        <v>0.34</v>
      </c>
    </row>
    <row r="146" spans="4:52" x14ac:dyDescent="0.2">
      <c r="D146">
        <f t="shared" ref="D146:D160" si="49">D40</f>
        <v>321</v>
      </c>
      <c r="F146" s="19">
        <v>375</v>
      </c>
      <c r="G146">
        <v>20985</v>
      </c>
      <c r="H146" s="12">
        <f t="shared" si="46"/>
        <v>71.600819999999999</v>
      </c>
      <c r="I146" s="12">
        <f t="shared" si="47"/>
        <v>303.39918</v>
      </c>
      <c r="L146">
        <f t="shared" si="48"/>
        <v>324</v>
      </c>
      <c r="M146" s="15">
        <f t="shared" si="44"/>
        <v>126.878632</v>
      </c>
      <c r="N146" s="15">
        <f t="shared" si="45"/>
        <v>3075.1213680000001</v>
      </c>
      <c r="X146" s="15">
        <f>4.6+82.2</f>
        <v>86.8</v>
      </c>
      <c r="Y146" t="s">
        <v>64</v>
      </c>
      <c r="AC146">
        <f>86.8/219.1</f>
        <v>0.3961661341853035</v>
      </c>
      <c r="AD146" s="20">
        <v>0.4</v>
      </c>
      <c r="AE146" s="23">
        <v>0.3</v>
      </c>
      <c r="AF146">
        <f>AD146*X130</f>
        <v>24.5780992</v>
      </c>
      <c r="AI146" s="35">
        <f t="shared" si="39"/>
        <v>0.4</v>
      </c>
      <c r="AJ146" s="35">
        <f t="shared" si="40"/>
        <v>0.32</v>
      </c>
      <c r="AL146" s="36">
        <f t="shared" si="41"/>
        <v>0.31399999999999995</v>
      </c>
      <c r="AN146" s="36">
        <f t="shared" si="42"/>
        <v>0.308</v>
      </c>
      <c r="AP146" s="20">
        <f t="shared" si="43"/>
        <v>0.3</v>
      </c>
      <c r="AS146" s="15">
        <f>5+82.9</f>
        <v>87.9</v>
      </c>
      <c r="AT146" t="s">
        <v>64</v>
      </c>
      <c r="AX146">
        <f>86.8/207.3</f>
        <v>0.41871683550410033</v>
      </c>
      <c r="AY146" s="20">
        <v>0.4</v>
      </c>
      <c r="AZ146" s="23">
        <v>0.32</v>
      </c>
    </row>
    <row r="147" spans="4:52" x14ac:dyDescent="0.2">
      <c r="D147">
        <f t="shared" si="49"/>
        <v>322</v>
      </c>
      <c r="F147" s="12">
        <v>2361</v>
      </c>
      <c r="G147">
        <v>65503</v>
      </c>
      <c r="H147" s="12">
        <f t="shared" si="46"/>
        <v>223.49623600000001</v>
      </c>
      <c r="I147" s="12">
        <f t="shared" si="47"/>
        <v>2137.503764</v>
      </c>
      <c r="L147">
        <f t="shared" si="48"/>
        <v>325</v>
      </c>
      <c r="M147" s="15">
        <f t="shared" si="44"/>
        <v>522.39084800000001</v>
      </c>
      <c r="N147" s="15">
        <f t="shared" si="45"/>
        <v>3246.609152</v>
      </c>
      <c r="X147">
        <f>4.1+15+19.7+4.4+4.8</f>
        <v>47.999999999999993</v>
      </c>
      <c r="Y147" t="s">
        <v>50</v>
      </c>
      <c r="AC147">
        <f>X147/219.1</f>
        <v>0.21907804655408486</v>
      </c>
      <c r="AD147" s="20">
        <v>0.22</v>
      </c>
      <c r="AE147" s="23">
        <v>0.32</v>
      </c>
      <c r="AF147">
        <f>AD147*X130</f>
        <v>13.51795456</v>
      </c>
      <c r="AI147" s="35">
        <f t="shared" si="39"/>
        <v>0.22</v>
      </c>
      <c r="AJ147" s="35">
        <f t="shared" si="40"/>
        <v>0.34</v>
      </c>
      <c r="AL147" s="36">
        <f t="shared" si="41"/>
        <v>0.33399999999999996</v>
      </c>
      <c r="AN147" s="36">
        <f t="shared" si="42"/>
        <v>0.32800000000000001</v>
      </c>
      <c r="AP147" s="20">
        <f t="shared" si="43"/>
        <v>0.32</v>
      </c>
      <c r="AS147">
        <f>4.8+12.8+15.7+1.4+6</f>
        <v>40.699999999999996</v>
      </c>
      <c r="AT147" t="s">
        <v>50</v>
      </c>
      <c r="AX147">
        <f>AS147/207.3</f>
        <v>0.19633381572600092</v>
      </c>
      <c r="AY147" s="20">
        <v>0.22</v>
      </c>
      <c r="AZ147" s="23">
        <v>0.34</v>
      </c>
    </row>
    <row r="148" spans="4:52" x14ac:dyDescent="0.2">
      <c r="D148">
        <f t="shared" si="49"/>
        <v>323</v>
      </c>
      <c r="F148" s="12">
        <v>98</v>
      </c>
      <c r="G148">
        <v>14714</v>
      </c>
      <c r="H148" s="12">
        <f t="shared" si="46"/>
        <v>50.204167999999996</v>
      </c>
      <c r="I148" s="12">
        <f t="shared" si="47"/>
        <v>47.795832000000004</v>
      </c>
      <c r="L148">
        <f t="shared" si="48"/>
        <v>326</v>
      </c>
      <c r="M148" s="15">
        <f t="shared" si="44"/>
        <v>181.45357199999998</v>
      </c>
      <c r="N148" s="15">
        <f t="shared" si="45"/>
        <v>166.54642800000002</v>
      </c>
      <c r="Z148" t="s">
        <v>51</v>
      </c>
      <c r="AC148">
        <f>SUM(AC143:AC147)</f>
        <v>0.97900502053856697</v>
      </c>
      <c r="AF148">
        <f>SUM(AF143:AF147)</f>
        <v>60.830795520000002</v>
      </c>
      <c r="AI148" s="35">
        <f t="shared" si="39"/>
        <v>0</v>
      </c>
      <c r="AJ148" s="35"/>
      <c r="AL148" s="36"/>
      <c r="AN148" s="36"/>
      <c r="AP148" s="20"/>
      <c r="AU148" t="s">
        <v>51</v>
      </c>
      <c r="AX148">
        <f>SUM(AX143:AX147)</f>
        <v>0.97153883260974427</v>
      </c>
    </row>
    <row r="149" spans="4:52" x14ac:dyDescent="0.2">
      <c r="D149">
        <f t="shared" si="49"/>
        <v>324</v>
      </c>
      <c r="F149" s="12">
        <v>3202</v>
      </c>
      <c r="G149">
        <v>37186</v>
      </c>
      <c r="H149" s="12">
        <f t="shared" si="46"/>
        <v>126.878632</v>
      </c>
      <c r="I149" s="12">
        <f t="shared" si="47"/>
        <v>3075.1213680000001</v>
      </c>
      <c r="L149">
        <f t="shared" si="48"/>
        <v>327</v>
      </c>
      <c r="M149" s="15">
        <f t="shared" si="44"/>
        <v>141.23291599999999</v>
      </c>
      <c r="N149" s="15">
        <f t="shared" si="45"/>
        <v>910.76708400000007</v>
      </c>
      <c r="X149" t="s">
        <v>53</v>
      </c>
      <c r="AC149">
        <f>67.8/1029.6</f>
        <v>6.5850815850815855E-2</v>
      </c>
      <c r="AD149" s="20">
        <v>7.0000000000000007E-2</v>
      </c>
      <c r="AE149" s="20">
        <f>AD149</f>
        <v>7.0000000000000007E-2</v>
      </c>
      <c r="AF149">
        <f>AD149*X128</f>
        <v>17.11337404</v>
      </c>
      <c r="AI149" s="35">
        <f t="shared" si="39"/>
        <v>7.0000000000000007E-2</v>
      </c>
      <c r="AJ149" s="35">
        <f>AZ149</f>
        <v>7.0000000000000007E-2</v>
      </c>
      <c r="AL149" s="36">
        <f>0.7*AJ149+0.3*AP149</f>
        <v>7.0000000000000007E-2</v>
      </c>
      <c r="AN149" s="36">
        <f>0.4*AJ149+0.6*AP149</f>
        <v>7.0000000000000007E-2</v>
      </c>
      <c r="AP149" s="20">
        <f>AE149</f>
        <v>7.0000000000000007E-2</v>
      </c>
      <c r="AS149" t="s">
        <v>87</v>
      </c>
      <c r="AX149">
        <f>67.8/1029.6</f>
        <v>6.5850815850815855E-2</v>
      </c>
      <c r="AY149" s="20">
        <v>7.0000000000000007E-2</v>
      </c>
      <c r="AZ149" s="20">
        <f>AY149</f>
        <v>7.0000000000000007E-2</v>
      </c>
    </row>
    <row r="150" spans="4:52" x14ac:dyDescent="0.2">
      <c r="D150">
        <f t="shared" si="49"/>
        <v>325</v>
      </c>
      <c r="F150" s="12">
        <v>3769</v>
      </c>
      <c r="G150">
        <v>153104</v>
      </c>
      <c r="H150" s="12">
        <f t="shared" si="46"/>
        <v>522.39084800000001</v>
      </c>
      <c r="I150" s="12">
        <f t="shared" si="47"/>
        <v>3246.609152</v>
      </c>
      <c r="L150">
        <f t="shared" si="48"/>
        <v>331</v>
      </c>
      <c r="M150" s="15">
        <f t="shared" si="44"/>
        <v>493.04082399999999</v>
      </c>
      <c r="N150" s="15">
        <f t="shared" si="45"/>
        <v>1629.9591760000001</v>
      </c>
      <c r="X150">
        <f>7.4+14.3</f>
        <v>21.700000000000003</v>
      </c>
      <c r="Y150" t="s">
        <v>55</v>
      </c>
      <c r="AC150">
        <f>X150/526.3</f>
        <v>4.1231236937108125E-2</v>
      </c>
      <c r="AD150" s="20">
        <v>0.04</v>
      </c>
      <c r="AE150" s="20">
        <f>AD150</f>
        <v>0.04</v>
      </c>
      <c r="AF150">
        <f>AD150*X131</f>
        <v>4.3140383999999994</v>
      </c>
      <c r="AI150" s="35">
        <f t="shared" si="39"/>
        <v>0.04</v>
      </c>
      <c r="AJ150" s="35">
        <f>AZ150</f>
        <v>0.04</v>
      </c>
      <c r="AL150" s="36">
        <f>0.7*AJ150+0.3*AP150</f>
        <v>3.9999999999999994E-2</v>
      </c>
      <c r="AN150" s="36">
        <f>0.4*AJ150+0.6*AP150</f>
        <v>0.04</v>
      </c>
      <c r="AP150" s="20">
        <f>AE150</f>
        <v>0.04</v>
      </c>
      <c r="AS150">
        <f>4.4+11.9</f>
        <v>16.3</v>
      </c>
      <c r="AT150" t="s">
        <v>55</v>
      </c>
      <c r="AX150">
        <f>AS150/435</f>
        <v>3.7471264367816094E-2</v>
      </c>
      <c r="AY150" s="20">
        <v>0.04</v>
      </c>
      <c r="AZ150" s="20">
        <f>AY150</f>
        <v>0.04</v>
      </c>
    </row>
    <row r="151" spans="4:52" x14ac:dyDescent="0.2">
      <c r="D151">
        <f t="shared" si="49"/>
        <v>326</v>
      </c>
      <c r="F151" s="12">
        <v>348</v>
      </c>
      <c r="G151">
        <v>53181</v>
      </c>
      <c r="H151" s="12">
        <f t="shared" si="46"/>
        <v>181.45357199999998</v>
      </c>
      <c r="I151" s="12">
        <f t="shared" si="47"/>
        <v>166.54642800000002</v>
      </c>
      <c r="L151">
        <f t="shared" si="48"/>
        <v>332</v>
      </c>
      <c r="M151" s="15">
        <f t="shared" si="44"/>
        <v>160.78367600000001</v>
      </c>
      <c r="N151" s="15">
        <f t="shared" si="45"/>
        <v>226.21632399999999</v>
      </c>
      <c r="X151">
        <f>12.4+29.3+199.8+14.3</f>
        <v>255.8</v>
      </c>
      <c r="Y151" t="s">
        <v>56</v>
      </c>
      <c r="AC151">
        <f>X151/526.3</f>
        <v>0.48603458103743119</v>
      </c>
      <c r="AD151" s="20">
        <v>0.5</v>
      </c>
      <c r="AE151" s="22">
        <v>0.33</v>
      </c>
      <c r="AF151">
        <f>AD151*X131</f>
        <v>53.925479999999993</v>
      </c>
      <c r="AI151" s="35">
        <f t="shared" si="39"/>
        <v>0.42</v>
      </c>
      <c r="AJ151" s="35">
        <f>AZ151</f>
        <v>0.28000000000000003</v>
      </c>
      <c r="AL151" s="36">
        <f>0.7*AJ151+0.3*AP151</f>
        <v>0.29500000000000004</v>
      </c>
      <c r="AN151" s="36">
        <f>0.4*AJ151+0.6*AP151</f>
        <v>0.31000000000000005</v>
      </c>
      <c r="AP151" s="20">
        <f>AE151</f>
        <v>0.33</v>
      </c>
      <c r="AS151">
        <f>11.2+27.6+138.7+6.9</f>
        <v>184.4</v>
      </c>
      <c r="AT151" t="s">
        <v>88</v>
      </c>
      <c r="AX151">
        <f>AS151/435</f>
        <v>0.42390804597701148</v>
      </c>
      <c r="AY151" s="20">
        <v>0.42</v>
      </c>
      <c r="AZ151" s="22">
        <v>0.28000000000000003</v>
      </c>
    </row>
    <row r="152" spans="4:52" x14ac:dyDescent="0.2">
      <c r="D152">
        <f t="shared" si="49"/>
        <v>327</v>
      </c>
      <c r="F152" s="12">
        <v>1052</v>
      </c>
      <c r="G152">
        <v>41393</v>
      </c>
      <c r="H152" s="12">
        <f t="shared" si="46"/>
        <v>141.23291599999999</v>
      </c>
      <c r="I152" s="12">
        <f t="shared" si="47"/>
        <v>910.76708400000007</v>
      </c>
      <c r="L152">
        <f t="shared" si="48"/>
        <v>333</v>
      </c>
      <c r="M152" s="15">
        <f t="shared" si="44"/>
        <v>83.808955999999995</v>
      </c>
      <c r="N152" s="15">
        <f t="shared" si="45"/>
        <v>91.191044000000005</v>
      </c>
      <c r="AI152" s="35"/>
      <c r="AJ152" s="35"/>
      <c r="AL152" s="36"/>
      <c r="AN152" s="36"/>
      <c r="AP152" s="20"/>
    </row>
    <row r="153" spans="4:52" x14ac:dyDescent="0.2">
      <c r="D153">
        <f t="shared" si="49"/>
        <v>331</v>
      </c>
      <c r="F153" s="12">
        <v>2123</v>
      </c>
      <c r="G153">
        <v>144502</v>
      </c>
      <c r="H153" s="12">
        <f t="shared" si="46"/>
        <v>493.04082399999999</v>
      </c>
      <c r="I153" s="12">
        <f t="shared" si="47"/>
        <v>1629.9591760000001</v>
      </c>
      <c r="L153">
        <f t="shared" si="48"/>
        <v>334</v>
      </c>
      <c r="M153" s="15">
        <f t="shared" si="44"/>
        <v>130.857024</v>
      </c>
      <c r="N153" s="15">
        <f t="shared" si="45"/>
        <v>69.142976000000004</v>
      </c>
      <c r="X153" t="s">
        <v>79</v>
      </c>
      <c r="AD153" s="20">
        <v>0.38</v>
      </c>
      <c r="AE153" s="20">
        <f>AD153</f>
        <v>0.38</v>
      </c>
      <c r="AI153" s="35">
        <f>AY153</f>
        <v>0.34</v>
      </c>
      <c r="AJ153" s="35">
        <f>AZ153</f>
        <v>0.34</v>
      </c>
      <c r="AL153" s="36">
        <f>0.7*AJ153+0.3*AP153</f>
        <v>0.35199999999999998</v>
      </c>
      <c r="AN153" s="36">
        <f>0.4*AJ153+0.6*AP153</f>
        <v>0.36399999999999999</v>
      </c>
      <c r="AP153" s="20">
        <f>AE153</f>
        <v>0.38</v>
      </c>
      <c r="AS153" t="s">
        <v>79</v>
      </c>
      <c r="AY153" s="20">
        <v>0.34</v>
      </c>
      <c r="AZ153" s="20">
        <f>AY153</f>
        <v>0.34</v>
      </c>
    </row>
    <row r="154" spans="4:52" x14ac:dyDescent="0.2">
      <c r="D154">
        <f t="shared" si="49"/>
        <v>332</v>
      </c>
      <c r="F154" s="12">
        <v>387</v>
      </c>
      <c r="G154">
        <v>47123</v>
      </c>
      <c r="H154" s="12">
        <f t="shared" si="46"/>
        <v>160.78367600000001</v>
      </c>
      <c r="I154" s="12">
        <f t="shared" si="47"/>
        <v>226.21632399999999</v>
      </c>
      <c r="L154">
        <f t="shared" si="48"/>
        <v>335</v>
      </c>
      <c r="M154" s="15">
        <f t="shared" si="44"/>
        <v>47.430211999999997</v>
      </c>
      <c r="N154" s="15">
        <f t="shared" si="45"/>
        <v>55.569788000000003</v>
      </c>
    </row>
    <row r="155" spans="4:52" x14ac:dyDescent="0.2">
      <c r="D155">
        <f t="shared" si="49"/>
        <v>333</v>
      </c>
      <c r="F155" s="12">
        <v>175</v>
      </c>
      <c r="G155">
        <v>24563</v>
      </c>
      <c r="H155" s="12">
        <f t="shared" si="46"/>
        <v>83.808955999999995</v>
      </c>
      <c r="I155" s="12">
        <f t="shared" si="47"/>
        <v>91.191044000000005</v>
      </c>
      <c r="L155">
        <f t="shared" si="48"/>
        <v>336</v>
      </c>
      <c r="M155" s="15">
        <f t="shared" si="44"/>
        <v>172.33329600000002</v>
      </c>
      <c r="N155" s="15">
        <f t="shared" si="45"/>
        <v>251.66670399999998</v>
      </c>
    </row>
    <row r="156" spans="4:52" x14ac:dyDescent="0.2">
      <c r="D156">
        <f t="shared" si="49"/>
        <v>334</v>
      </c>
      <c r="E156" s="31"/>
      <c r="F156" s="12">
        <v>200</v>
      </c>
      <c r="G156">
        <v>38352</v>
      </c>
      <c r="H156" s="12">
        <f t="shared" si="46"/>
        <v>130.857024</v>
      </c>
      <c r="I156" s="12">
        <f t="shared" si="47"/>
        <v>69.142976000000004</v>
      </c>
      <c r="L156">
        <f t="shared" si="48"/>
        <v>337</v>
      </c>
      <c r="M156" s="15">
        <f t="shared" si="44"/>
        <v>24.095544</v>
      </c>
      <c r="N156" s="15">
        <f t="shared" si="45"/>
        <v>38.904455999999996</v>
      </c>
      <c r="AE156" s="20">
        <f>AE146+AE147+AE153</f>
        <v>1</v>
      </c>
    </row>
    <row r="157" spans="4:52" x14ac:dyDescent="0.2">
      <c r="D157">
        <f t="shared" si="49"/>
        <v>335</v>
      </c>
      <c r="F157">
        <v>103</v>
      </c>
      <c r="G157">
        <v>13901</v>
      </c>
      <c r="H157" s="12">
        <f t="shared" si="46"/>
        <v>47.430211999999997</v>
      </c>
      <c r="I157" s="12">
        <f t="shared" si="47"/>
        <v>55.569788000000003</v>
      </c>
      <c r="L157">
        <f t="shared" si="48"/>
        <v>339</v>
      </c>
      <c r="M157" s="15">
        <f t="shared" si="44"/>
        <v>35.396087999999999</v>
      </c>
      <c r="N157" s="15">
        <f t="shared" si="45"/>
        <v>35.603912000000001</v>
      </c>
    </row>
    <row r="158" spans="4:52" x14ac:dyDescent="0.2">
      <c r="D158">
        <f t="shared" si="49"/>
        <v>336</v>
      </c>
      <c r="F158" s="12">
        <v>424</v>
      </c>
      <c r="G158">
        <v>50508</v>
      </c>
      <c r="H158" s="12">
        <f t="shared" si="46"/>
        <v>172.33329600000002</v>
      </c>
      <c r="I158" s="12">
        <f t="shared" si="47"/>
        <v>251.66670399999998</v>
      </c>
      <c r="M158" s="15">
        <f>SUM(M140:M157)</f>
        <v>2822.3586319999999</v>
      </c>
      <c r="N158" s="15">
        <f>SUM(N140:N157)</f>
        <v>13390.641368000002</v>
      </c>
    </row>
    <row r="159" spans="4:52" x14ac:dyDescent="0.2">
      <c r="D159">
        <f t="shared" si="49"/>
        <v>337</v>
      </c>
      <c r="F159" s="12">
        <v>63</v>
      </c>
      <c r="G159">
        <v>7062</v>
      </c>
      <c r="H159" s="12">
        <f t="shared" si="46"/>
        <v>24.095544</v>
      </c>
      <c r="I159" s="12">
        <f t="shared" si="47"/>
        <v>38.904455999999996</v>
      </c>
    </row>
    <row r="160" spans="4:52" x14ac:dyDescent="0.2">
      <c r="D160">
        <f t="shared" si="49"/>
        <v>339</v>
      </c>
      <c r="F160" s="33">
        <v>71</v>
      </c>
      <c r="G160" s="34">
        <v>10374</v>
      </c>
      <c r="H160" s="33">
        <f t="shared" si="46"/>
        <v>35.396087999999999</v>
      </c>
      <c r="I160" s="33">
        <f t="shared" si="47"/>
        <v>35.603912000000001</v>
      </c>
    </row>
    <row r="161" spans="4:14" x14ac:dyDescent="0.2">
      <c r="F161" s="15">
        <f>SUM(F140:F160)</f>
        <v>16273</v>
      </c>
      <c r="G161" s="15">
        <f>SUM(G140:G160)</f>
        <v>832061</v>
      </c>
      <c r="H161" s="15">
        <f>SUM(H140:H160)</f>
        <v>2822.3586319999999</v>
      </c>
      <c r="I161" s="15">
        <f>SUM(I140:I160)</f>
        <v>13390.641368000002</v>
      </c>
    </row>
    <row r="164" spans="4:14" x14ac:dyDescent="0.2">
      <c r="D164">
        <v>2006</v>
      </c>
      <c r="E164" t="s">
        <v>38</v>
      </c>
      <c r="F164" t="s">
        <v>95</v>
      </c>
      <c r="H164" t="s">
        <v>96</v>
      </c>
      <c r="J164" s="31"/>
      <c r="L164" t="s">
        <v>94</v>
      </c>
    </row>
    <row r="165" spans="4:14" ht="34.5" thickBot="1" x14ac:dyDescent="0.25">
      <c r="F165" s="10" t="s">
        <v>33</v>
      </c>
      <c r="G165" s="11" t="s">
        <v>34</v>
      </c>
      <c r="H165" s="11" t="s">
        <v>35</v>
      </c>
      <c r="I165" s="11" t="s">
        <v>36</v>
      </c>
      <c r="J165" s="32"/>
      <c r="M165" s="17" t="s">
        <v>35</v>
      </c>
      <c r="N165" s="17" t="s">
        <v>36</v>
      </c>
    </row>
    <row r="166" spans="4:14" x14ac:dyDescent="0.2">
      <c r="D166" s="2">
        <v>311</v>
      </c>
      <c r="F166" s="12">
        <v>1186</v>
      </c>
      <c r="G166" s="12">
        <v>73440</v>
      </c>
      <c r="H166" s="12">
        <f>G166*3.412*0.001</f>
        <v>250.57728</v>
      </c>
      <c r="I166" s="12">
        <f>F166-H166</f>
        <v>935.42272000000003</v>
      </c>
      <c r="J166" s="19"/>
      <c r="L166" t="s">
        <v>12</v>
      </c>
      <c r="M166" s="15">
        <f>H166+H167</f>
        <v>280.80077599999998</v>
      </c>
      <c r="N166" s="15">
        <f>I166+I167</f>
        <v>1014.1992240000001</v>
      </c>
    </row>
    <row r="167" spans="4:14" x14ac:dyDescent="0.2">
      <c r="D167" s="2">
        <v>312</v>
      </c>
      <c r="F167" s="19">
        <v>109</v>
      </c>
      <c r="G167" s="12">
        <v>8858</v>
      </c>
      <c r="H167" s="12">
        <f>G167*3.412*0.001</f>
        <v>30.223496000000001</v>
      </c>
      <c r="I167" s="12">
        <f>F167-H167</f>
        <v>78.776504000000003</v>
      </c>
      <c r="J167" s="19"/>
      <c r="L167" t="s">
        <v>13</v>
      </c>
      <c r="M167" s="15">
        <f>H168+H169</f>
        <v>65.592287999999996</v>
      </c>
      <c r="N167" s="15">
        <f>I168+I169</f>
        <v>112.407712</v>
      </c>
    </row>
    <row r="168" spans="4:14" x14ac:dyDescent="0.2">
      <c r="D168" s="2">
        <v>313</v>
      </c>
      <c r="F168" s="12">
        <v>178</v>
      </c>
      <c r="G168" s="12">
        <v>19224</v>
      </c>
      <c r="H168" s="12">
        <f>G168*3.412*0.001</f>
        <v>65.592287999999996</v>
      </c>
      <c r="I168" s="12">
        <f>F168-H168</f>
        <v>112.407712</v>
      </c>
      <c r="J168" s="19"/>
      <c r="L168" t="s">
        <v>14</v>
      </c>
      <c r="M168" s="15">
        <f>H170+H171</f>
        <v>8.2775119999999998</v>
      </c>
      <c r="N168" s="15">
        <f>I170+I171</f>
        <v>8.7224880000000002</v>
      </c>
    </row>
    <row r="169" spans="4:14" x14ac:dyDescent="0.2">
      <c r="D169">
        <v>314</v>
      </c>
      <c r="F169" s="12">
        <v>72</v>
      </c>
      <c r="G169" s="12">
        <v>5920</v>
      </c>
      <c r="J169" s="31"/>
      <c r="L169">
        <v>321</v>
      </c>
      <c r="M169" s="15">
        <f t="shared" ref="M169:M183" si="50">H172</f>
        <v>91.178876000000002</v>
      </c>
      <c r="N169" s="15">
        <f t="shared" ref="N169:N183" si="51">I172</f>
        <v>353.821124</v>
      </c>
    </row>
    <row r="170" spans="4:14" x14ac:dyDescent="0.2">
      <c r="D170">
        <v>315</v>
      </c>
      <c r="F170">
        <v>14</v>
      </c>
      <c r="G170">
        <v>2013</v>
      </c>
      <c r="H170" s="12">
        <f t="shared" ref="H170:H186" si="52">G170*3.412*0.001</f>
        <v>6.8683560000000003</v>
      </c>
      <c r="I170" s="12">
        <f t="shared" ref="I170:I186" si="53">F170-H170</f>
        <v>7.1316439999999997</v>
      </c>
      <c r="J170" s="19"/>
      <c r="L170">
        <f t="shared" ref="L170:L183" si="54">D173</f>
        <v>322</v>
      </c>
      <c r="M170" s="15">
        <f t="shared" si="50"/>
        <v>247.43141600000001</v>
      </c>
      <c r="N170" s="15">
        <f t="shared" si="51"/>
        <v>2106.5685840000001</v>
      </c>
    </row>
    <row r="171" spans="4:14" x14ac:dyDescent="0.2">
      <c r="D171">
        <v>316</v>
      </c>
      <c r="F171" s="19">
        <v>3</v>
      </c>
      <c r="G171">
        <v>413</v>
      </c>
      <c r="H171" s="12">
        <f t="shared" si="52"/>
        <v>1.4091560000000001</v>
      </c>
      <c r="I171" s="12">
        <f t="shared" si="53"/>
        <v>1.5908439999999999</v>
      </c>
      <c r="J171" s="31"/>
      <c r="L171">
        <f t="shared" si="54"/>
        <v>323</v>
      </c>
      <c r="M171" s="15">
        <f t="shared" si="50"/>
        <v>44.625548000000002</v>
      </c>
      <c r="N171" s="15">
        <f t="shared" si="51"/>
        <v>40.374451999999998</v>
      </c>
    </row>
    <row r="172" spans="4:14" x14ac:dyDescent="0.2">
      <c r="D172">
        <f t="shared" ref="D172:D186" si="55">D66</f>
        <v>321</v>
      </c>
      <c r="F172" s="19">
        <v>445</v>
      </c>
      <c r="G172">
        <v>26723</v>
      </c>
      <c r="H172" s="12">
        <f t="shared" si="52"/>
        <v>91.178876000000002</v>
      </c>
      <c r="I172" s="12">
        <f t="shared" si="53"/>
        <v>353.821124</v>
      </c>
      <c r="L172">
        <f t="shared" si="54"/>
        <v>324</v>
      </c>
      <c r="M172" s="15">
        <f t="shared" si="50"/>
        <v>136.937208</v>
      </c>
      <c r="N172" s="15">
        <f t="shared" si="51"/>
        <v>3259.0627920000002</v>
      </c>
    </row>
    <row r="173" spans="4:14" x14ac:dyDescent="0.2">
      <c r="D173">
        <f t="shared" si="55"/>
        <v>322</v>
      </c>
      <c r="F173" s="12">
        <v>2354</v>
      </c>
      <c r="G173">
        <v>72518</v>
      </c>
      <c r="H173" s="12">
        <f t="shared" si="52"/>
        <v>247.43141600000001</v>
      </c>
      <c r="I173" s="12">
        <f t="shared" si="53"/>
        <v>2106.5685840000001</v>
      </c>
      <c r="L173">
        <f t="shared" si="54"/>
        <v>325</v>
      </c>
      <c r="M173" s="15">
        <f t="shared" si="50"/>
        <v>517.24214000000006</v>
      </c>
      <c r="N173" s="15">
        <f t="shared" si="51"/>
        <v>2677.7578599999997</v>
      </c>
    </row>
    <row r="174" spans="4:14" x14ac:dyDescent="0.2">
      <c r="D174">
        <f t="shared" si="55"/>
        <v>323</v>
      </c>
      <c r="F174" s="12">
        <v>85</v>
      </c>
      <c r="G174">
        <v>13079</v>
      </c>
      <c r="H174" s="12">
        <f t="shared" si="52"/>
        <v>44.625548000000002</v>
      </c>
      <c r="I174" s="12">
        <f t="shared" si="53"/>
        <v>40.374451999999998</v>
      </c>
      <c r="L174">
        <f t="shared" si="54"/>
        <v>326</v>
      </c>
      <c r="M174" s="15">
        <f t="shared" si="50"/>
        <v>182.214448</v>
      </c>
      <c r="N174" s="15">
        <f t="shared" si="51"/>
        <v>153.785552</v>
      </c>
    </row>
    <row r="175" spans="4:14" x14ac:dyDescent="0.2">
      <c r="D175">
        <f t="shared" si="55"/>
        <v>324</v>
      </c>
      <c r="F175" s="12">
        <v>3396</v>
      </c>
      <c r="G175">
        <v>40134</v>
      </c>
      <c r="H175" s="12">
        <f t="shared" si="52"/>
        <v>136.937208</v>
      </c>
      <c r="I175" s="12">
        <f t="shared" si="53"/>
        <v>3259.0627920000002</v>
      </c>
      <c r="L175">
        <f t="shared" si="54"/>
        <v>327</v>
      </c>
      <c r="M175" s="15">
        <f t="shared" si="50"/>
        <v>146.63411199999999</v>
      </c>
      <c r="N175" s="15">
        <f t="shared" si="51"/>
        <v>958.36588800000004</v>
      </c>
    </row>
    <row r="176" spans="4:14" x14ac:dyDescent="0.2">
      <c r="D176">
        <f t="shared" si="55"/>
        <v>325</v>
      </c>
      <c r="F176" s="12">
        <v>3195</v>
      </c>
      <c r="G176">
        <v>151595</v>
      </c>
      <c r="H176" s="12">
        <f t="shared" si="52"/>
        <v>517.24214000000006</v>
      </c>
      <c r="I176" s="12">
        <f t="shared" si="53"/>
        <v>2677.7578599999997</v>
      </c>
      <c r="L176">
        <f t="shared" si="54"/>
        <v>331</v>
      </c>
      <c r="M176" s="15">
        <f t="shared" si="50"/>
        <v>458.31689999999998</v>
      </c>
      <c r="N176" s="15">
        <f t="shared" si="51"/>
        <v>1285.6831</v>
      </c>
    </row>
    <row r="177" spans="4:40" x14ac:dyDescent="0.2">
      <c r="D177">
        <f t="shared" si="55"/>
        <v>326</v>
      </c>
      <c r="F177" s="12">
        <v>336</v>
      </c>
      <c r="G177">
        <v>53404</v>
      </c>
      <c r="H177" s="12">
        <f t="shared" si="52"/>
        <v>182.214448</v>
      </c>
      <c r="I177" s="12">
        <f t="shared" si="53"/>
        <v>153.785552</v>
      </c>
      <c r="L177">
        <f t="shared" si="54"/>
        <v>332</v>
      </c>
      <c r="M177" s="15">
        <f t="shared" si="50"/>
        <v>143.18457999999998</v>
      </c>
      <c r="N177" s="15">
        <f t="shared" si="51"/>
        <v>253.81542000000002</v>
      </c>
    </row>
    <row r="178" spans="4:40" x14ac:dyDescent="0.2">
      <c r="D178">
        <f t="shared" si="55"/>
        <v>327</v>
      </c>
      <c r="F178" s="12">
        <v>1105</v>
      </c>
      <c r="G178">
        <v>42976</v>
      </c>
      <c r="H178" s="12">
        <f t="shared" si="52"/>
        <v>146.63411199999999</v>
      </c>
      <c r="I178" s="12">
        <f t="shared" si="53"/>
        <v>958.36588800000004</v>
      </c>
      <c r="L178">
        <f t="shared" si="54"/>
        <v>333</v>
      </c>
      <c r="M178" s="15">
        <f t="shared" si="50"/>
        <v>110.528328</v>
      </c>
      <c r="N178" s="15">
        <f t="shared" si="51"/>
        <v>93.471671999999998</v>
      </c>
    </row>
    <row r="179" spans="4:40" x14ac:dyDescent="0.2">
      <c r="D179">
        <f t="shared" si="55"/>
        <v>331</v>
      </c>
      <c r="F179" s="12">
        <v>1744</v>
      </c>
      <c r="G179">
        <v>134325</v>
      </c>
      <c r="H179" s="12">
        <f t="shared" si="52"/>
        <v>458.31689999999998</v>
      </c>
      <c r="I179" s="12">
        <f t="shared" si="53"/>
        <v>1285.6831</v>
      </c>
      <c r="L179">
        <f t="shared" si="54"/>
        <v>334</v>
      </c>
      <c r="M179" s="15">
        <f t="shared" si="50"/>
        <v>93.860708000000002</v>
      </c>
      <c r="N179" s="15">
        <f t="shared" si="51"/>
        <v>47.139291999999998</v>
      </c>
    </row>
    <row r="180" spans="4:40" x14ac:dyDescent="0.2">
      <c r="D180">
        <f t="shared" si="55"/>
        <v>332</v>
      </c>
      <c r="F180" s="12">
        <v>397</v>
      </c>
      <c r="G180">
        <v>41965</v>
      </c>
      <c r="H180" s="12">
        <f t="shared" si="52"/>
        <v>143.18457999999998</v>
      </c>
      <c r="I180" s="12">
        <f t="shared" si="53"/>
        <v>253.81542000000002</v>
      </c>
      <c r="L180">
        <f t="shared" si="54"/>
        <v>335</v>
      </c>
      <c r="M180" s="15">
        <f t="shared" si="50"/>
        <v>43.902203999999998</v>
      </c>
      <c r="N180" s="15">
        <f t="shared" si="51"/>
        <v>43.097796000000002</v>
      </c>
    </row>
    <row r="181" spans="4:40" x14ac:dyDescent="0.2">
      <c r="D181">
        <f t="shared" si="55"/>
        <v>333</v>
      </c>
      <c r="F181" s="12">
        <v>204</v>
      </c>
      <c r="G181">
        <v>32394</v>
      </c>
      <c r="H181" s="12">
        <f t="shared" si="52"/>
        <v>110.528328</v>
      </c>
      <c r="I181" s="12">
        <f t="shared" si="53"/>
        <v>93.471671999999998</v>
      </c>
      <c r="L181">
        <f t="shared" si="54"/>
        <v>336</v>
      </c>
      <c r="M181" s="15">
        <f t="shared" si="50"/>
        <v>195.06062800000001</v>
      </c>
      <c r="N181" s="15">
        <f t="shared" si="51"/>
        <v>283.93937199999999</v>
      </c>
    </row>
    <row r="182" spans="4:40" x14ac:dyDescent="0.2">
      <c r="D182">
        <f t="shared" si="55"/>
        <v>334</v>
      </c>
      <c r="E182" s="3"/>
      <c r="F182" s="12">
        <v>141</v>
      </c>
      <c r="G182">
        <v>27509</v>
      </c>
      <c r="H182" s="12">
        <f t="shared" si="52"/>
        <v>93.860708000000002</v>
      </c>
      <c r="I182" s="12">
        <f t="shared" si="53"/>
        <v>47.139291999999998</v>
      </c>
      <c r="L182">
        <f t="shared" si="54"/>
        <v>337</v>
      </c>
      <c r="M182" s="15">
        <f t="shared" si="50"/>
        <v>31.608768000000001</v>
      </c>
      <c r="N182" s="15">
        <f t="shared" si="51"/>
        <v>28.391231999999999</v>
      </c>
    </row>
    <row r="183" spans="4:40" x14ac:dyDescent="0.2">
      <c r="D183">
        <f t="shared" si="55"/>
        <v>335</v>
      </c>
      <c r="F183">
        <v>87</v>
      </c>
      <c r="G183">
        <v>12867</v>
      </c>
      <c r="H183" s="12">
        <f t="shared" si="52"/>
        <v>43.902203999999998</v>
      </c>
      <c r="I183" s="12">
        <f t="shared" si="53"/>
        <v>43.097796000000002</v>
      </c>
      <c r="L183">
        <f t="shared" si="54"/>
        <v>339</v>
      </c>
      <c r="M183" s="15">
        <f t="shared" si="50"/>
        <v>33.017924000000001</v>
      </c>
      <c r="N183" s="15">
        <f t="shared" si="51"/>
        <v>32.982075999999999</v>
      </c>
    </row>
    <row r="184" spans="4:40" x14ac:dyDescent="0.2">
      <c r="D184">
        <f t="shared" si="55"/>
        <v>336</v>
      </c>
      <c r="F184" s="12">
        <v>479</v>
      </c>
      <c r="G184">
        <v>57169</v>
      </c>
      <c r="H184" s="12">
        <f t="shared" si="52"/>
        <v>195.06062800000001</v>
      </c>
      <c r="I184" s="12">
        <f t="shared" si="53"/>
        <v>283.93937199999999</v>
      </c>
      <c r="M184" s="15">
        <f>SUM(M166:M183)</f>
        <v>2830.4143640000007</v>
      </c>
      <c r="N184" s="15">
        <f>SUM(N166:N183)</f>
        <v>12753.585636000002</v>
      </c>
    </row>
    <row r="185" spans="4:40" x14ac:dyDescent="0.2">
      <c r="D185">
        <f t="shared" si="55"/>
        <v>337</v>
      </c>
      <c r="F185" s="12">
        <v>60</v>
      </c>
      <c r="G185">
        <v>9264</v>
      </c>
      <c r="H185" s="12">
        <f t="shared" si="52"/>
        <v>31.608768000000001</v>
      </c>
      <c r="I185" s="12">
        <f t="shared" si="53"/>
        <v>28.391231999999999</v>
      </c>
    </row>
    <row r="186" spans="4:40" x14ac:dyDescent="0.2">
      <c r="D186">
        <f t="shared" si="55"/>
        <v>339</v>
      </c>
      <c r="F186" s="33">
        <v>66</v>
      </c>
      <c r="G186" s="34">
        <v>9677</v>
      </c>
      <c r="H186" s="33">
        <f t="shared" si="52"/>
        <v>33.017924000000001</v>
      </c>
      <c r="I186" s="33">
        <f t="shared" si="53"/>
        <v>32.982075999999999</v>
      </c>
    </row>
    <row r="187" spans="4:40" x14ac:dyDescent="0.2">
      <c r="F187" s="15">
        <f>SUM(F166:F186)</f>
        <v>15656</v>
      </c>
      <c r="G187" s="15">
        <f>SUM(G166:G186)</f>
        <v>835467</v>
      </c>
      <c r="H187" s="15">
        <f>SUM(H166:H186)</f>
        <v>2830.4143640000007</v>
      </c>
      <c r="I187" s="15">
        <f>SUM(I166:I186)</f>
        <v>12753.585636000002</v>
      </c>
      <c r="X187" s="79" t="s">
        <v>263</v>
      </c>
      <c r="Y187" s="79"/>
      <c r="Z187" s="79" t="s">
        <v>264</v>
      </c>
      <c r="AA187" s="79"/>
    </row>
    <row r="188" spans="4:40" x14ac:dyDescent="0.2">
      <c r="X188" s="52" t="s">
        <v>268</v>
      </c>
      <c r="AA188" s="52" t="s">
        <v>265</v>
      </c>
      <c r="AD188" s="52" t="s">
        <v>266</v>
      </c>
      <c r="AG188" s="52" t="s">
        <v>267</v>
      </c>
      <c r="AJ188" s="52" t="s">
        <v>269</v>
      </c>
      <c r="AM188" s="52" t="s">
        <v>270</v>
      </c>
    </row>
    <row r="189" spans="4:40" x14ac:dyDescent="0.2">
      <c r="X189" t="s">
        <v>97</v>
      </c>
      <c r="Y189" t="s">
        <v>98</v>
      </c>
      <c r="AA189" t="s">
        <v>97</v>
      </c>
      <c r="AB189" t="s">
        <v>98</v>
      </c>
      <c r="AG189" t="s">
        <v>97</v>
      </c>
      <c r="AH189" t="s">
        <v>98</v>
      </c>
      <c r="AJ189" t="s">
        <v>97</v>
      </c>
      <c r="AK189" t="s">
        <v>98</v>
      </c>
      <c r="AM189" t="s">
        <v>97</v>
      </c>
      <c r="AN189" t="s">
        <v>98</v>
      </c>
    </row>
    <row r="190" spans="4:40" ht="13.5" thickBot="1" x14ac:dyDescent="0.25">
      <c r="E190" s="1">
        <v>1985</v>
      </c>
      <c r="F190" s="1">
        <v>1986</v>
      </c>
      <c r="G190" s="1">
        <v>1987</v>
      </c>
      <c r="H190" s="1">
        <v>1988</v>
      </c>
      <c r="I190" s="1">
        <v>1998</v>
      </c>
      <c r="J190" s="1">
        <v>2002</v>
      </c>
      <c r="K190" s="1">
        <v>2006</v>
      </c>
      <c r="W190">
        <f>F190</f>
        <v>1986</v>
      </c>
      <c r="X190">
        <v>1988</v>
      </c>
      <c r="Y190">
        <f t="shared" ref="Y190:Y208" si="56">F190</f>
        <v>1986</v>
      </c>
      <c r="AA190">
        <v>1991</v>
      </c>
      <c r="AB190">
        <v>1991</v>
      </c>
      <c r="AD190">
        <v>1994</v>
      </c>
      <c r="AE190">
        <v>1994</v>
      </c>
      <c r="AG190">
        <v>1998</v>
      </c>
      <c r="AH190">
        <v>1998</v>
      </c>
      <c r="AJ190">
        <v>2002</v>
      </c>
      <c r="AK190">
        <v>2002</v>
      </c>
      <c r="AM190">
        <v>2002</v>
      </c>
      <c r="AN190">
        <v>2002</v>
      </c>
    </row>
    <row r="191" spans="4:40" x14ac:dyDescent="0.2">
      <c r="D191" t="str">
        <f t="shared" ref="D191:D208" si="57">L166</f>
        <v>311-312</v>
      </c>
      <c r="E191" s="7">
        <f>P8</f>
        <v>2815.9714287830675</v>
      </c>
      <c r="F191" s="7">
        <f t="shared" ref="F191:F208" si="58">P34</f>
        <v>2428.9288258561974</v>
      </c>
      <c r="G191" s="7">
        <f t="shared" ref="G191:G208" si="59">P60</f>
        <v>2156.7108744996754</v>
      </c>
      <c r="H191" s="7">
        <f t="shared" ref="H191:H208" si="60">P86</f>
        <v>2156.6102393975102</v>
      </c>
      <c r="I191" s="15">
        <f t="shared" ref="I191:I208" si="61">N114</f>
        <v>914.596452</v>
      </c>
      <c r="J191" s="15">
        <f t="shared" ref="J191:J208" si="62">N140</f>
        <v>963.55408</v>
      </c>
      <c r="K191" s="15">
        <f t="shared" ref="K191:K208" si="63">N166</f>
        <v>1014.1992240000001</v>
      </c>
      <c r="W191" t="str">
        <f t="shared" ref="W191:W208" si="64">D191</f>
        <v>311-312</v>
      </c>
      <c r="X191" s="78">
        <v>832.64244910083971</v>
      </c>
      <c r="Y191">
        <f t="shared" si="56"/>
        <v>2428.9288258561974</v>
      </c>
      <c r="AA191">
        <v>825.06814544225392</v>
      </c>
      <c r="AB191" s="7">
        <f t="shared" ref="AB191:AB208" si="65">G191</f>
        <v>2156.7108744996754</v>
      </c>
      <c r="AD191">
        <v>1019.6176246830094</v>
      </c>
      <c r="AE191" s="7">
        <f t="shared" ref="AE191:AE208" si="66">H191</f>
        <v>2156.6102393975102</v>
      </c>
      <c r="AG191">
        <v>913.99999999999989</v>
      </c>
      <c r="AH191" s="15">
        <f t="shared" ref="AH191:AH208" si="67">I191</f>
        <v>914.596452</v>
      </c>
      <c r="AJ191">
        <v>972.00000000000023</v>
      </c>
      <c r="AK191" s="15">
        <f t="shared" ref="AK191:AK208" si="68">J191</f>
        <v>963.55408</v>
      </c>
      <c r="AM191">
        <v>1012.9999999999999</v>
      </c>
      <c r="AN191" s="15">
        <f t="shared" ref="AN191:AN208" si="69">K191</f>
        <v>1014.1992240000001</v>
      </c>
    </row>
    <row r="192" spans="4:40" x14ac:dyDescent="0.2">
      <c r="D192" t="str">
        <f t="shared" si="57"/>
        <v>313-314</v>
      </c>
      <c r="E192" s="7">
        <f t="shared" ref="E192:E208" si="70">P9</f>
        <v>689.94182486657019</v>
      </c>
      <c r="F192" s="7">
        <f t="shared" si="58"/>
        <v>594.20827022001254</v>
      </c>
      <c r="G192" s="7">
        <f t="shared" si="59"/>
        <v>589.54781319867914</v>
      </c>
      <c r="H192" s="7">
        <f t="shared" si="60"/>
        <v>565.85715667356749</v>
      </c>
      <c r="I192" s="15">
        <f t="shared" si="61"/>
        <v>183.883668</v>
      </c>
      <c r="J192" s="15">
        <f t="shared" si="62"/>
        <v>118.77534799999999</v>
      </c>
      <c r="K192" s="15">
        <f t="shared" si="63"/>
        <v>112.407712</v>
      </c>
      <c r="W192" t="str">
        <f t="shared" si="64"/>
        <v>313-314</v>
      </c>
      <c r="X192">
        <v>172.9272250155245</v>
      </c>
      <c r="Y192">
        <f t="shared" si="56"/>
        <v>594.20827022001254</v>
      </c>
      <c r="AA192">
        <v>172</v>
      </c>
      <c r="AB192" s="7">
        <f t="shared" si="65"/>
        <v>589.54781319867914</v>
      </c>
      <c r="AD192">
        <v>199.00000000000003</v>
      </c>
      <c r="AE192" s="7">
        <f t="shared" si="66"/>
        <v>565.85715667356749</v>
      </c>
      <c r="AG192">
        <v>163.1132797985552</v>
      </c>
      <c r="AH192" s="15">
        <f t="shared" si="67"/>
        <v>183.883668</v>
      </c>
      <c r="AJ192">
        <v>163.00000000000003</v>
      </c>
      <c r="AK192" s="15">
        <f t="shared" si="68"/>
        <v>118.77534799999999</v>
      </c>
      <c r="AM192">
        <v>164.50000000000003</v>
      </c>
      <c r="AN192" s="15">
        <f t="shared" si="69"/>
        <v>112.407712</v>
      </c>
    </row>
    <row r="193" spans="4:40" x14ac:dyDescent="0.2">
      <c r="D193" t="str">
        <f t="shared" si="57"/>
        <v>315-316</v>
      </c>
      <c r="E193" s="7">
        <f t="shared" si="70"/>
        <v>203.78944884475555</v>
      </c>
      <c r="F193" s="7">
        <f t="shared" si="58"/>
        <v>201.39959390094714</v>
      </c>
      <c r="G193" s="7">
        <f t="shared" si="59"/>
        <v>185.6482772258461</v>
      </c>
      <c r="H193" s="7">
        <f t="shared" si="60"/>
        <v>188.36402148017382</v>
      </c>
      <c r="I193" s="15">
        <f t="shared" si="61"/>
        <v>35.487055999999995</v>
      </c>
      <c r="J193" s="15">
        <f t="shared" si="62"/>
        <v>22.314752000000002</v>
      </c>
      <c r="K193" s="15">
        <f t="shared" si="63"/>
        <v>8.7224880000000002</v>
      </c>
      <c r="W193" t="str">
        <f t="shared" si="64"/>
        <v>315-316</v>
      </c>
      <c r="X193">
        <v>42.262922050854527</v>
      </c>
      <c r="Y193">
        <f t="shared" si="56"/>
        <v>201.39959390094714</v>
      </c>
      <c r="AA193">
        <v>34.35</v>
      </c>
      <c r="AB193" s="7">
        <f t="shared" si="65"/>
        <v>185.6482772258461</v>
      </c>
      <c r="AD193">
        <v>43.690100000000008</v>
      </c>
      <c r="AE193" s="7">
        <f t="shared" si="66"/>
        <v>188.36402148017382</v>
      </c>
      <c r="AG193">
        <v>37.000000000000014</v>
      </c>
      <c r="AH193" s="15">
        <f t="shared" si="67"/>
        <v>35.487055999999995</v>
      </c>
      <c r="AJ193">
        <v>23.300000000000022</v>
      </c>
      <c r="AK193" s="15">
        <f t="shared" si="68"/>
        <v>22.314752000000002</v>
      </c>
      <c r="AM193">
        <v>9.9000000000000234</v>
      </c>
      <c r="AN193" s="15">
        <f t="shared" si="69"/>
        <v>8.7224880000000002</v>
      </c>
    </row>
    <row r="194" spans="4:40" x14ac:dyDescent="0.2">
      <c r="D194">
        <f t="shared" si="57"/>
        <v>321</v>
      </c>
      <c r="E194" s="7">
        <f t="shared" si="70"/>
        <v>401.80245156768564</v>
      </c>
      <c r="F194" s="7">
        <f t="shared" si="58"/>
        <v>374.31985964227681</v>
      </c>
      <c r="G194" s="7">
        <f t="shared" si="59"/>
        <v>382.84294194825804</v>
      </c>
      <c r="H194" s="7">
        <f t="shared" si="60"/>
        <v>430.41565645205111</v>
      </c>
      <c r="I194" s="15">
        <f t="shared" si="61"/>
        <v>431.76796000000002</v>
      </c>
      <c r="J194" s="15">
        <f t="shared" si="62"/>
        <v>303.39918</v>
      </c>
      <c r="K194" s="15">
        <f t="shared" si="63"/>
        <v>353.821124</v>
      </c>
      <c r="W194">
        <f t="shared" si="64"/>
        <v>321</v>
      </c>
      <c r="X194">
        <v>350.60134196252159</v>
      </c>
      <c r="Y194">
        <f t="shared" si="56"/>
        <v>374.31985964227681</v>
      </c>
      <c r="AA194">
        <v>390</v>
      </c>
      <c r="AB194" s="7">
        <f t="shared" si="65"/>
        <v>382.84294194825804</v>
      </c>
      <c r="AD194">
        <v>422.27533333333326</v>
      </c>
      <c r="AE194" s="7">
        <f t="shared" si="66"/>
        <v>430.41565645205111</v>
      </c>
      <c r="AG194">
        <v>436</v>
      </c>
      <c r="AH194" s="15">
        <f t="shared" si="67"/>
        <v>431.76796000000002</v>
      </c>
      <c r="AJ194">
        <v>305</v>
      </c>
      <c r="AK194" s="15">
        <f t="shared" si="68"/>
        <v>303.39918</v>
      </c>
      <c r="AM194">
        <v>359.2</v>
      </c>
      <c r="AN194" s="15">
        <f t="shared" si="69"/>
        <v>353.821124</v>
      </c>
    </row>
    <row r="195" spans="4:40" x14ac:dyDescent="0.2">
      <c r="D195">
        <f t="shared" si="57"/>
        <v>322</v>
      </c>
      <c r="E195" s="7">
        <f t="shared" si="70"/>
        <v>3379.5207023040175</v>
      </c>
      <c r="F195" s="7">
        <f t="shared" si="58"/>
        <v>2707.5499517661369</v>
      </c>
      <c r="G195" s="7">
        <f t="shared" si="59"/>
        <v>2570.2806333900285</v>
      </c>
      <c r="H195" s="7">
        <f t="shared" si="60"/>
        <v>2554.6069730372656</v>
      </c>
      <c r="I195" s="15">
        <f t="shared" si="61"/>
        <v>2503.918032</v>
      </c>
      <c r="J195" s="15">
        <f t="shared" si="62"/>
        <v>2137.503764</v>
      </c>
      <c r="K195" s="15">
        <f t="shared" si="63"/>
        <v>2106.5685840000001</v>
      </c>
      <c r="W195">
        <f t="shared" si="64"/>
        <v>322</v>
      </c>
      <c r="X195">
        <v>2182.6146710187259</v>
      </c>
      <c r="Y195">
        <f t="shared" si="56"/>
        <v>2707.5499517661369</v>
      </c>
      <c r="AA195">
        <v>2295.8260517799358</v>
      </c>
      <c r="AB195" s="7">
        <f t="shared" si="65"/>
        <v>2570.2806333900285</v>
      </c>
      <c r="AD195">
        <v>2442</v>
      </c>
      <c r="AE195" s="7">
        <f t="shared" si="66"/>
        <v>2554.6069730372656</v>
      </c>
      <c r="AG195">
        <v>2506</v>
      </c>
      <c r="AH195" s="15">
        <f t="shared" si="67"/>
        <v>2503.918032</v>
      </c>
      <c r="AJ195">
        <v>2139</v>
      </c>
      <c r="AK195" s="15">
        <f t="shared" si="68"/>
        <v>2137.503764</v>
      </c>
      <c r="AM195">
        <v>2106</v>
      </c>
      <c r="AN195" s="15">
        <f t="shared" si="69"/>
        <v>2106.5685840000001</v>
      </c>
    </row>
    <row r="196" spans="4:40" x14ac:dyDescent="0.2">
      <c r="D196">
        <f t="shared" si="57"/>
        <v>323</v>
      </c>
      <c r="E196" s="7">
        <f t="shared" si="70"/>
        <v>203.20549652414306</v>
      </c>
      <c r="F196" s="7">
        <f t="shared" si="58"/>
        <v>190.29348059917146</v>
      </c>
      <c r="G196" s="7">
        <f t="shared" si="59"/>
        <v>192.41020452129794</v>
      </c>
      <c r="H196" s="7">
        <f t="shared" si="60"/>
        <v>208.35619140131752</v>
      </c>
      <c r="I196" s="15">
        <f t="shared" si="61"/>
        <v>47.004247999999997</v>
      </c>
      <c r="J196" s="15">
        <f t="shared" si="62"/>
        <v>47.795832000000004</v>
      </c>
      <c r="K196" s="15">
        <f t="shared" si="63"/>
        <v>40.374451999999998</v>
      </c>
      <c r="W196">
        <f t="shared" si="64"/>
        <v>323</v>
      </c>
      <c r="X196">
        <v>57.995021896532847</v>
      </c>
      <c r="Y196">
        <f t="shared" si="56"/>
        <v>190.29348059917146</v>
      </c>
      <c r="AA196">
        <v>55.25010000000001</v>
      </c>
      <c r="AB196" s="7">
        <f t="shared" si="65"/>
        <v>192.41020452129794</v>
      </c>
      <c r="AD196">
        <v>55.473451797996589</v>
      </c>
      <c r="AE196" s="7">
        <f t="shared" si="66"/>
        <v>208.35619140131752</v>
      </c>
      <c r="AG196">
        <v>47.749999999999993</v>
      </c>
      <c r="AH196" s="15">
        <f t="shared" si="67"/>
        <v>47.004247999999997</v>
      </c>
      <c r="AJ196">
        <v>48.600000000000009</v>
      </c>
      <c r="AK196" s="15">
        <f t="shared" si="68"/>
        <v>47.795832000000004</v>
      </c>
      <c r="AM196">
        <v>41.1</v>
      </c>
      <c r="AN196" s="15">
        <f t="shared" si="69"/>
        <v>40.374451999999998</v>
      </c>
    </row>
    <row r="197" spans="4:40" x14ac:dyDescent="0.2">
      <c r="D197">
        <f t="shared" si="57"/>
        <v>324</v>
      </c>
      <c r="E197" s="7">
        <f t="shared" si="70"/>
        <v>3547.1507976792809</v>
      </c>
      <c r="F197" s="7">
        <f t="shared" si="58"/>
        <v>2630.5883292760632</v>
      </c>
      <c r="G197" s="7">
        <f t="shared" si="59"/>
        <v>2005.2681389961647</v>
      </c>
      <c r="H197" s="7">
        <f t="shared" si="60"/>
        <v>2099.9469002005153</v>
      </c>
      <c r="I197" s="15">
        <f t="shared" si="61"/>
        <v>3495.5546920000002</v>
      </c>
      <c r="J197" s="15">
        <f t="shared" si="62"/>
        <v>3075.1213680000001</v>
      </c>
      <c r="K197" s="15">
        <f t="shared" si="63"/>
        <v>3259.0627920000002</v>
      </c>
      <c r="W197">
        <f t="shared" si="64"/>
        <v>324</v>
      </c>
      <c r="X197">
        <v>3033.8152666626552</v>
      </c>
      <c r="Y197">
        <f t="shared" si="56"/>
        <v>2630.5883292760632</v>
      </c>
      <c r="AA197">
        <v>3068.805433545363</v>
      </c>
      <c r="AB197" s="7">
        <f t="shared" si="65"/>
        <v>2005.2681389961647</v>
      </c>
      <c r="AD197">
        <v>3150.1787281642669</v>
      </c>
      <c r="AE197" s="7">
        <f t="shared" si="66"/>
        <v>2099.9469002005153</v>
      </c>
      <c r="AG197">
        <v>3510.0000000000005</v>
      </c>
      <c r="AH197" s="15">
        <f t="shared" si="67"/>
        <v>3495.5546920000002</v>
      </c>
      <c r="AJ197">
        <v>3044.4</v>
      </c>
      <c r="AK197" s="15">
        <f t="shared" si="68"/>
        <v>3075.1213680000001</v>
      </c>
      <c r="AM197">
        <v>3294.1839619321863</v>
      </c>
      <c r="AN197" s="15">
        <f t="shared" si="69"/>
        <v>3259.0627920000002</v>
      </c>
    </row>
    <row r="198" spans="4:40" x14ac:dyDescent="0.2">
      <c r="D198">
        <f t="shared" si="57"/>
        <v>325</v>
      </c>
      <c r="E198" s="7">
        <f t="shared" si="70"/>
        <v>5393.3412160308235</v>
      </c>
      <c r="F198" s="7">
        <f t="shared" si="58"/>
        <v>3965.8641148265406</v>
      </c>
      <c r="G198" s="7">
        <f t="shared" si="59"/>
        <v>4099.6095384634755</v>
      </c>
      <c r="H198" s="7">
        <f t="shared" si="60"/>
        <v>4322.7829621897454</v>
      </c>
      <c r="I198" s="15">
        <f t="shared" si="61"/>
        <v>3126.5770039999998</v>
      </c>
      <c r="J198" s="15">
        <f t="shared" si="62"/>
        <v>3246.609152</v>
      </c>
      <c r="K198" s="15">
        <f t="shared" si="63"/>
        <v>2677.7578599999997</v>
      </c>
      <c r="W198">
        <f t="shared" si="64"/>
        <v>325</v>
      </c>
      <c r="X198">
        <v>2269.4432942787175</v>
      </c>
      <c r="Y198">
        <f t="shared" si="56"/>
        <v>3965.8641148265406</v>
      </c>
      <c r="AA198">
        <v>2502.5291955158073</v>
      </c>
      <c r="AB198" s="7">
        <f t="shared" si="65"/>
        <v>4099.6095384634755</v>
      </c>
      <c r="AD198">
        <v>2511.0000000000005</v>
      </c>
      <c r="AE198" s="7">
        <f t="shared" si="66"/>
        <v>4322.7829621897454</v>
      </c>
      <c r="AG198">
        <v>2824.9999999999995</v>
      </c>
      <c r="AH198" s="15">
        <f t="shared" si="67"/>
        <v>3126.5770039999998</v>
      </c>
      <c r="AJ198">
        <v>2694.63</v>
      </c>
      <c r="AK198" s="15">
        <f t="shared" si="68"/>
        <v>3246.609152</v>
      </c>
      <c r="AM198">
        <v>2234</v>
      </c>
      <c r="AN198" s="15">
        <f t="shared" si="69"/>
        <v>2677.7578599999997</v>
      </c>
    </row>
    <row r="199" spans="4:40" x14ac:dyDescent="0.2">
      <c r="D199">
        <f t="shared" si="57"/>
        <v>326</v>
      </c>
      <c r="E199" s="7">
        <f t="shared" si="70"/>
        <v>577.40684679445974</v>
      </c>
      <c r="F199" s="7">
        <f t="shared" si="58"/>
        <v>500.98535236578118</v>
      </c>
      <c r="G199" s="7">
        <f t="shared" si="59"/>
        <v>532.46520914941027</v>
      </c>
      <c r="H199" s="7">
        <f t="shared" si="60"/>
        <v>521.69578446027401</v>
      </c>
      <c r="I199" s="15">
        <f t="shared" si="61"/>
        <v>144.39999600000002</v>
      </c>
      <c r="J199" s="15">
        <f t="shared" si="62"/>
        <v>166.54642800000002</v>
      </c>
      <c r="K199" s="15">
        <f t="shared" si="63"/>
        <v>153.785552</v>
      </c>
      <c r="W199">
        <f t="shared" si="64"/>
        <v>326</v>
      </c>
      <c r="X199">
        <v>147.1333302440305</v>
      </c>
      <c r="Y199">
        <f t="shared" si="56"/>
        <v>500.98535236578118</v>
      </c>
      <c r="AA199">
        <v>122.99999999999999</v>
      </c>
      <c r="AB199" s="7">
        <f t="shared" si="65"/>
        <v>532.46520914941027</v>
      </c>
      <c r="AD199">
        <v>138</v>
      </c>
      <c r="AE199" s="7">
        <f t="shared" si="66"/>
        <v>521.69578446027401</v>
      </c>
      <c r="AG199">
        <v>145.00000000000003</v>
      </c>
      <c r="AH199" s="15">
        <f t="shared" si="67"/>
        <v>144.39999600000002</v>
      </c>
      <c r="AJ199">
        <v>152.4</v>
      </c>
      <c r="AK199" s="15">
        <f t="shared" si="68"/>
        <v>166.54642800000002</v>
      </c>
      <c r="AM199">
        <v>150.25000000000003</v>
      </c>
      <c r="AN199" s="15">
        <f t="shared" si="69"/>
        <v>153.785552</v>
      </c>
    </row>
    <row r="200" spans="4:40" x14ac:dyDescent="0.2">
      <c r="D200">
        <f t="shared" si="57"/>
        <v>327</v>
      </c>
      <c r="E200" s="7">
        <f t="shared" si="70"/>
        <v>2657.2371263069717</v>
      </c>
      <c r="F200" s="7">
        <f t="shared" si="58"/>
        <v>2301.1589518966789</v>
      </c>
      <c r="G200" s="7">
        <f t="shared" si="59"/>
        <v>2070.8730671264161</v>
      </c>
      <c r="H200" s="7">
        <f t="shared" si="60"/>
        <v>2013.6765729498679</v>
      </c>
      <c r="I200" s="15">
        <f t="shared" si="61"/>
        <v>834.98687599999994</v>
      </c>
      <c r="J200" s="15">
        <f t="shared" si="62"/>
        <v>910.76708400000007</v>
      </c>
      <c r="K200" s="15">
        <f t="shared" si="63"/>
        <v>958.36588800000004</v>
      </c>
      <c r="W200">
        <f t="shared" si="64"/>
        <v>327</v>
      </c>
      <c r="X200">
        <v>850.36157634567508</v>
      </c>
      <c r="Y200">
        <f t="shared" si="56"/>
        <v>2301.1589518966789</v>
      </c>
      <c r="AA200">
        <v>788.63758389261773</v>
      </c>
      <c r="AB200" s="7">
        <f t="shared" si="65"/>
        <v>2070.8730671264161</v>
      </c>
      <c r="AD200">
        <v>821</v>
      </c>
      <c r="AE200" s="7">
        <f t="shared" si="66"/>
        <v>2013.6765729498679</v>
      </c>
      <c r="AG200">
        <v>845.00000000000011</v>
      </c>
      <c r="AH200" s="15">
        <f t="shared" si="67"/>
        <v>834.98687599999994</v>
      </c>
      <c r="AJ200">
        <v>917.99999999999989</v>
      </c>
      <c r="AK200" s="15">
        <f t="shared" si="68"/>
        <v>910.76708400000007</v>
      </c>
      <c r="AM200">
        <v>967</v>
      </c>
      <c r="AN200" s="15">
        <f t="shared" si="69"/>
        <v>958.36588800000004</v>
      </c>
    </row>
    <row r="201" spans="4:40" x14ac:dyDescent="0.2">
      <c r="D201">
        <f t="shared" si="57"/>
        <v>331</v>
      </c>
      <c r="E201" s="7">
        <f t="shared" si="70"/>
        <v>4339.9602459174175</v>
      </c>
      <c r="F201" s="7">
        <f t="shared" si="58"/>
        <v>3336.1303610854025</v>
      </c>
      <c r="G201" s="7">
        <f t="shared" si="59"/>
        <v>2887.3118056325779</v>
      </c>
      <c r="H201" s="7">
        <f t="shared" si="60"/>
        <v>3116.8741104477103</v>
      </c>
      <c r="I201" s="15">
        <f t="shared" si="61"/>
        <v>2031.356088</v>
      </c>
      <c r="J201" s="15">
        <f t="shared" si="62"/>
        <v>1629.9591760000001</v>
      </c>
      <c r="K201" s="15">
        <f t="shared" si="63"/>
        <v>1285.6831</v>
      </c>
      <c r="W201">
        <f t="shared" si="64"/>
        <v>331</v>
      </c>
      <c r="X201">
        <v>2316.543394649877</v>
      </c>
      <c r="Y201">
        <f t="shared" si="56"/>
        <v>3336.1303610854025</v>
      </c>
      <c r="AA201">
        <v>1858.7486910994764</v>
      </c>
      <c r="AB201" s="7">
        <f t="shared" si="65"/>
        <v>2887.3118056325779</v>
      </c>
      <c r="AD201">
        <v>2217.9999999999995</v>
      </c>
      <c r="AE201" s="7">
        <f t="shared" si="66"/>
        <v>3116.8741104477103</v>
      </c>
      <c r="AG201">
        <v>2093</v>
      </c>
      <c r="AH201" s="15">
        <f t="shared" si="67"/>
        <v>2031.356088</v>
      </c>
      <c r="AJ201">
        <v>1583.7875226039782</v>
      </c>
      <c r="AK201" s="15">
        <f t="shared" si="68"/>
        <v>1629.9591760000001</v>
      </c>
      <c r="AM201">
        <v>1245</v>
      </c>
      <c r="AN201" s="15">
        <f t="shared" si="69"/>
        <v>1285.6831</v>
      </c>
    </row>
    <row r="202" spans="4:40" x14ac:dyDescent="0.2">
      <c r="D202">
        <f t="shared" si="57"/>
        <v>332</v>
      </c>
      <c r="E202" s="7">
        <f t="shared" si="70"/>
        <v>1124.3502443921664</v>
      </c>
      <c r="F202" s="7">
        <f t="shared" si="58"/>
        <v>995.82878054874004</v>
      </c>
      <c r="G202" s="7">
        <f t="shared" si="59"/>
        <v>957.40108597662811</v>
      </c>
      <c r="H202" s="7">
        <f t="shared" si="60"/>
        <v>993.52102639808663</v>
      </c>
      <c r="I202" s="15">
        <f t="shared" si="61"/>
        <v>265.28541200000001</v>
      </c>
      <c r="J202" s="15">
        <f t="shared" si="62"/>
        <v>226.21632399999999</v>
      </c>
      <c r="K202" s="15">
        <f t="shared" si="63"/>
        <v>253.81542000000002</v>
      </c>
      <c r="W202">
        <f t="shared" si="64"/>
        <v>332</v>
      </c>
      <c r="X202">
        <v>240.23437500000003</v>
      </c>
      <c r="Y202">
        <f t="shared" si="56"/>
        <v>995.82878054874004</v>
      </c>
      <c r="AA202">
        <v>209.02439344262294</v>
      </c>
      <c r="AB202" s="7">
        <f t="shared" si="65"/>
        <v>957.40108597662811</v>
      </c>
      <c r="AD202">
        <v>242.9004754650787</v>
      </c>
      <c r="AE202" s="7">
        <f t="shared" si="66"/>
        <v>993.52102639808663</v>
      </c>
      <c r="AG202">
        <v>269.99999999999994</v>
      </c>
      <c r="AH202" s="15">
        <f t="shared" si="67"/>
        <v>265.28541200000001</v>
      </c>
      <c r="AJ202">
        <v>226.89999999999998</v>
      </c>
      <c r="AK202" s="15">
        <f t="shared" si="68"/>
        <v>226.21632399999999</v>
      </c>
      <c r="AM202">
        <v>253.1</v>
      </c>
      <c r="AN202" s="15">
        <f t="shared" si="69"/>
        <v>253.81542000000002</v>
      </c>
    </row>
    <row r="203" spans="4:40" x14ac:dyDescent="0.2">
      <c r="D203">
        <f t="shared" si="57"/>
        <v>333</v>
      </c>
      <c r="E203" s="7">
        <f t="shared" si="70"/>
        <v>613.5172965475607</v>
      </c>
      <c r="F203" s="7">
        <f t="shared" si="58"/>
        <v>538.09507256146662</v>
      </c>
      <c r="G203" s="7">
        <f t="shared" si="59"/>
        <v>477.49102736513851</v>
      </c>
      <c r="H203" s="7">
        <f t="shared" si="60"/>
        <v>476.87449476454827</v>
      </c>
      <c r="I203" s="15">
        <f t="shared" si="61"/>
        <v>116.85666400000001</v>
      </c>
      <c r="J203" s="15">
        <f t="shared" si="62"/>
        <v>91.191044000000005</v>
      </c>
      <c r="K203" s="15">
        <f t="shared" si="63"/>
        <v>93.471671999999998</v>
      </c>
      <c r="W203">
        <f t="shared" si="64"/>
        <v>333</v>
      </c>
      <c r="X203">
        <v>164.9545736113979</v>
      </c>
      <c r="Y203">
        <f t="shared" si="56"/>
        <v>538.09507256146662</v>
      </c>
      <c r="AA203">
        <v>135</v>
      </c>
      <c r="AB203" s="7">
        <f t="shared" si="65"/>
        <v>477.49102736513851</v>
      </c>
      <c r="AD203">
        <v>139.56432627059959</v>
      </c>
      <c r="AE203" s="7">
        <f t="shared" si="66"/>
        <v>476.87449476454827</v>
      </c>
      <c r="AG203">
        <v>118.99999999999997</v>
      </c>
      <c r="AH203" s="15">
        <f t="shared" si="67"/>
        <v>116.85666400000001</v>
      </c>
      <c r="AJ203">
        <v>93.5</v>
      </c>
      <c r="AK203" s="15">
        <f t="shared" si="68"/>
        <v>91.191044000000005</v>
      </c>
      <c r="AM203">
        <v>93</v>
      </c>
      <c r="AN203" s="15">
        <f t="shared" si="69"/>
        <v>93.471671999999998</v>
      </c>
    </row>
    <row r="204" spans="4:40" x14ac:dyDescent="0.2">
      <c r="D204">
        <f t="shared" si="57"/>
        <v>334</v>
      </c>
      <c r="E204" s="7">
        <f t="shared" si="70"/>
        <v>291.98100673447351</v>
      </c>
      <c r="F204" s="7">
        <f t="shared" si="58"/>
        <v>250.35862224355006</v>
      </c>
      <c r="G204" s="7">
        <f t="shared" si="59"/>
        <v>242.48488052117449</v>
      </c>
      <c r="H204" s="7">
        <f t="shared" si="60"/>
        <v>240.59903893410413</v>
      </c>
      <c r="I204" s="15">
        <f t="shared" si="61"/>
        <v>67.813715999999999</v>
      </c>
      <c r="J204" s="15">
        <f t="shared" si="62"/>
        <v>69.142976000000004</v>
      </c>
      <c r="K204" s="15">
        <f t="shared" si="63"/>
        <v>47.139291999999998</v>
      </c>
      <c r="W204">
        <f t="shared" si="64"/>
        <v>334</v>
      </c>
      <c r="X204">
        <v>64</v>
      </c>
      <c r="Y204">
        <f t="shared" si="56"/>
        <v>250.35862224355006</v>
      </c>
      <c r="AA204">
        <v>57.84</v>
      </c>
      <c r="AB204" s="7">
        <f t="shared" si="65"/>
        <v>242.48488052117449</v>
      </c>
      <c r="AD204">
        <v>55.453215159488536</v>
      </c>
      <c r="AE204" s="7">
        <f t="shared" si="66"/>
        <v>240.59903893410413</v>
      </c>
      <c r="AG204">
        <v>67.5</v>
      </c>
      <c r="AH204" s="15">
        <f t="shared" si="67"/>
        <v>67.813715999999999</v>
      </c>
      <c r="AJ204">
        <v>70.400000000000006</v>
      </c>
      <c r="AK204" s="15">
        <f t="shared" si="68"/>
        <v>69.142976000000004</v>
      </c>
      <c r="AM204">
        <v>48.7</v>
      </c>
      <c r="AN204" s="15">
        <f t="shared" si="69"/>
        <v>47.139291999999998</v>
      </c>
    </row>
    <row r="205" spans="4:40" x14ac:dyDescent="0.2">
      <c r="D205">
        <f t="shared" si="57"/>
        <v>335</v>
      </c>
      <c r="E205" s="7">
        <f t="shared" si="70"/>
        <v>366.8042797694564</v>
      </c>
      <c r="F205" s="7">
        <f t="shared" si="58"/>
        <v>313.25000485525999</v>
      </c>
      <c r="G205" s="7">
        <f t="shared" si="59"/>
        <v>259.54884321598377</v>
      </c>
      <c r="H205" s="7">
        <f t="shared" si="60"/>
        <v>235.64381002161588</v>
      </c>
      <c r="I205" s="15">
        <f t="shared" si="61"/>
        <v>60.671008</v>
      </c>
      <c r="J205" s="15">
        <f t="shared" si="62"/>
        <v>55.569788000000003</v>
      </c>
      <c r="K205" s="15">
        <f t="shared" si="63"/>
        <v>43.097796000000002</v>
      </c>
      <c r="W205">
        <f t="shared" si="64"/>
        <v>335</v>
      </c>
      <c r="X205">
        <v>113.85067607289831</v>
      </c>
      <c r="Y205">
        <f t="shared" si="56"/>
        <v>313.25000485525999</v>
      </c>
      <c r="AA205">
        <v>94.898340868611612</v>
      </c>
      <c r="AB205" s="7">
        <f t="shared" si="65"/>
        <v>259.54884321598377</v>
      </c>
      <c r="AD205">
        <v>117.59261285048281</v>
      </c>
      <c r="AE205" s="7">
        <f t="shared" si="66"/>
        <v>235.64381002161588</v>
      </c>
      <c r="AG205">
        <v>93.031378227033059</v>
      </c>
      <c r="AH205" s="15">
        <f t="shared" si="67"/>
        <v>60.671008</v>
      </c>
      <c r="AJ205">
        <v>101.63336599739804</v>
      </c>
      <c r="AK205" s="15">
        <f t="shared" si="68"/>
        <v>55.569788000000003</v>
      </c>
      <c r="AM205">
        <v>59.88341438443819</v>
      </c>
      <c r="AN205" s="15">
        <f t="shared" si="69"/>
        <v>43.097796000000002</v>
      </c>
    </row>
    <row r="206" spans="4:40" x14ac:dyDescent="0.2">
      <c r="D206">
        <f t="shared" si="57"/>
        <v>336</v>
      </c>
      <c r="E206" s="7">
        <f t="shared" si="70"/>
        <v>1048.1176591429162</v>
      </c>
      <c r="F206" s="7">
        <f t="shared" si="58"/>
        <v>901.08117540303283</v>
      </c>
      <c r="G206" s="7">
        <f t="shared" si="59"/>
        <v>833.33238468453624</v>
      </c>
      <c r="H206" s="7">
        <f t="shared" si="60"/>
        <v>865.96679427310994</v>
      </c>
      <c r="I206" s="15">
        <f t="shared" si="61"/>
        <v>292.75512400000002</v>
      </c>
      <c r="J206" s="15">
        <f t="shared" si="62"/>
        <v>251.66670399999998</v>
      </c>
      <c r="K206" s="15">
        <f t="shared" si="63"/>
        <v>283.93937199999999</v>
      </c>
      <c r="W206">
        <f t="shared" si="64"/>
        <v>336</v>
      </c>
      <c r="X206">
        <v>222.83681208084479</v>
      </c>
      <c r="Y206">
        <f t="shared" si="56"/>
        <v>901.08117540303283</v>
      </c>
      <c r="AA206">
        <v>203.97897897897897</v>
      </c>
      <c r="AB206" s="7">
        <f t="shared" si="65"/>
        <v>833.33238468453624</v>
      </c>
      <c r="AD206">
        <v>231.00000000000006</v>
      </c>
      <c r="AE206" s="7">
        <f t="shared" si="66"/>
        <v>865.96679427310994</v>
      </c>
      <c r="AG206">
        <v>297.00000000000006</v>
      </c>
      <c r="AH206" s="15">
        <f t="shared" si="67"/>
        <v>292.75512400000002</v>
      </c>
      <c r="AJ206">
        <v>255.6</v>
      </c>
      <c r="AK206" s="15">
        <f t="shared" si="68"/>
        <v>251.66670399999998</v>
      </c>
      <c r="AM206">
        <v>282.8</v>
      </c>
      <c r="AN206" s="15">
        <f t="shared" si="69"/>
        <v>283.93937199999999</v>
      </c>
    </row>
    <row r="207" spans="4:40" x14ac:dyDescent="0.2">
      <c r="D207">
        <f t="shared" si="57"/>
        <v>337</v>
      </c>
      <c r="E207" s="7">
        <f t="shared" si="70"/>
        <v>165.99525640535066</v>
      </c>
      <c r="F207" s="7">
        <f t="shared" si="58"/>
        <v>152.64443149339215</v>
      </c>
      <c r="G207" s="7">
        <f t="shared" si="59"/>
        <v>154.31328460738698</v>
      </c>
      <c r="H207" s="7">
        <f t="shared" si="60"/>
        <v>158.42978895524087</v>
      </c>
      <c r="I207" s="15">
        <f t="shared" si="61"/>
        <v>58.499848</v>
      </c>
      <c r="J207" s="15">
        <f t="shared" si="62"/>
        <v>38.904455999999996</v>
      </c>
      <c r="K207" s="15">
        <f t="shared" si="63"/>
        <v>28.391231999999999</v>
      </c>
      <c r="W207">
        <f t="shared" si="64"/>
        <v>337</v>
      </c>
      <c r="X207">
        <v>42.960646735814535</v>
      </c>
      <c r="Y207">
        <f t="shared" si="56"/>
        <v>152.64443149339215</v>
      </c>
      <c r="AA207">
        <v>52.000000000000007</v>
      </c>
      <c r="AB207" s="7">
        <f t="shared" si="65"/>
        <v>154.31328460738698</v>
      </c>
      <c r="AD207">
        <v>47.25</v>
      </c>
      <c r="AE207" s="7">
        <f t="shared" si="66"/>
        <v>158.42978895524087</v>
      </c>
      <c r="AG207">
        <v>59.250000000000007</v>
      </c>
      <c r="AH207" s="15">
        <f t="shared" si="67"/>
        <v>58.499848</v>
      </c>
      <c r="AJ207">
        <v>39.70000000000001</v>
      </c>
      <c r="AK207" s="15">
        <f t="shared" si="68"/>
        <v>38.904455999999996</v>
      </c>
      <c r="AM207">
        <v>27.985139548693589</v>
      </c>
      <c r="AN207" s="15">
        <f t="shared" si="69"/>
        <v>28.391231999999999</v>
      </c>
    </row>
    <row r="208" spans="4:40" ht="13.5" thickBot="1" x14ac:dyDescent="0.25">
      <c r="D208">
        <f t="shared" si="57"/>
        <v>339</v>
      </c>
      <c r="E208" s="7">
        <f t="shared" si="70"/>
        <v>174.74674335299875</v>
      </c>
      <c r="F208" s="7">
        <f t="shared" si="58"/>
        <v>155.16329883457362</v>
      </c>
      <c r="G208" s="7">
        <f t="shared" si="59"/>
        <v>165.10844409991387</v>
      </c>
      <c r="H208" s="7">
        <f t="shared" si="60"/>
        <v>173.81121894200757</v>
      </c>
      <c r="I208" s="15">
        <f t="shared" si="61"/>
        <v>47.700868</v>
      </c>
      <c r="J208" s="15">
        <f t="shared" si="62"/>
        <v>35.603912000000001</v>
      </c>
      <c r="K208" s="15">
        <f t="shared" si="63"/>
        <v>32.982075999999999</v>
      </c>
      <c r="W208" s="1">
        <f t="shared" si="64"/>
        <v>339</v>
      </c>
      <c r="X208" s="1">
        <v>27</v>
      </c>
      <c r="Y208" s="1">
        <f t="shared" si="56"/>
        <v>155.16329883457362</v>
      </c>
      <c r="AA208">
        <v>19.820322580645165</v>
      </c>
      <c r="AB208" s="7">
        <f t="shared" si="65"/>
        <v>165.10844409991387</v>
      </c>
      <c r="AD208">
        <v>24.71</v>
      </c>
      <c r="AE208" s="7">
        <f t="shared" si="66"/>
        <v>173.81121894200757</v>
      </c>
      <c r="AG208">
        <v>48.250000000000007</v>
      </c>
      <c r="AH208" s="15">
        <f t="shared" si="67"/>
        <v>47.700868</v>
      </c>
      <c r="AJ208">
        <v>36.500000000000014</v>
      </c>
      <c r="AK208" s="15">
        <f t="shared" si="68"/>
        <v>35.603912000000001</v>
      </c>
      <c r="AM208">
        <v>32.6</v>
      </c>
      <c r="AN208" s="15">
        <f t="shared" si="69"/>
        <v>32.982075999999999</v>
      </c>
    </row>
    <row r="215" spans="4:11" x14ac:dyDescent="0.2">
      <c r="E215">
        <f t="shared" ref="E215:K215" si="71">E190</f>
        <v>1985</v>
      </c>
      <c r="F215">
        <f t="shared" si="71"/>
        <v>1986</v>
      </c>
      <c r="G215">
        <f t="shared" si="71"/>
        <v>1987</v>
      </c>
      <c r="H215">
        <f t="shared" si="71"/>
        <v>1988</v>
      </c>
      <c r="I215">
        <f t="shared" si="71"/>
        <v>1998</v>
      </c>
      <c r="J215">
        <f t="shared" si="71"/>
        <v>2002</v>
      </c>
      <c r="K215">
        <f t="shared" si="71"/>
        <v>2006</v>
      </c>
    </row>
    <row r="216" spans="4:11" x14ac:dyDescent="0.2">
      <c r="D216">
        <f t="shared" ref="D216:H219" si="72">D195</f>
        <v>322</v>
      </c>
      <c r="E216" s="7">
        <f t="shared" si="72"/>
        <v>3379.5207023040175</v>
      </c>
      <c r="F216" s="7">
        <f t="shared" si="72"/>
        <v>2707.5499517661369</v>
      </c>
      <c r="G216" s="7">
        <f t="shared" si="72"/>
        <v>2570.2806333900285</v>
      </c>
      <c r="H216" s="7">
        <f t="shared" si="72"/>
        <v>2554.6069730372656</v>
      </c>
      <c r="I216" s="7"/>
      <c r="J216" s="7"/>
      <c r="K216" s="7"/>
    </row>
    <row r="217" spans="4:11" x14ac:dyDescent="0.2">
      <c r="D217">
        <f t="shared" si="72"/>
        <v>323</v>
      </c>
      <c r="E217" s="7">
        <f t="shared" si="72"/>
        <v>203.20549652414306</v>
      </c>
      <c r="F217" s="7">
        <f t="shared" si="72"/>
        <v>190.29348059917146</v>
      </c>
      <c r="G217" s="7">
        <f t="shared" si="72"/>
        <v>192.41020452129794</v>
      </c>
      <c r="H217" s="7">
        <f t="shared" si="72"/>
        <v>208.35619140131752</v>
      </c>
      <c r="I217" s="7"/>
      <c r="J217" s="7"/>
      <c r="K217" s="7"/>
    </row>
    <row r="218" spans="4:11" x14ac:dyDescent="0.2">
      <c r="D218">
        <f t="shared" si="72"/>
        <v>324</v>
      </c>
      <c r="E218" s="7">
        <f t="shared" si="72"/>
        <v>3547.1507976792809</v>
      </c>
      <c r="F218" s="7">
        <f t="shared" si="72"/>
        <v>2630.5883292760632</v>
      </c>
      <c r="G218" s="7">
        <f t="shared" si="72"/>
        <v>2005.2681389961647</v>
      </c>
      <c r="H218" s="7">
        <f t="shared" si="72"/>
        <v>2099.9469002005153</v>
      </c>
      <c r="I218" s="7"/>
      <c r="J218" s="7"/>
      <c r="K218" s="7"/>
    </row>
    <row r="219" spans="4:11" x14ac:dyDescent="0.2">
      <c r="D219">
        <f t="shared" si="72"/>
        <v>325</v>
      </c>
      <c r="E219" s="7">
        <f t="shared" si="72"/>
        <v>5393.3412160308235</v>
      </c>
      <c r="F219" s="7">
        <f t="shared" si="72"/>
        <v>3965.8641148265406</v>
      </c>
      <c r="G219" s="7">
        <f t="shared" si="72"/>
        <v>4099.6095384634755</v>
      </c>
      <c r="H219" s="7">
        <f t="shared" si="72"/>
        <v>4322.7829621897454</v>
      </c>
      <c r="I219" s="7"/>
      <c r="J219" s="7"/>
      <c r="K219" s="7"/>
    </row>
    <row r="230" spans="5:11" x14ac:dyDescent="0.2">
      <c r="E230" s="7"/>
      <c r="F230" s="7"/>
      <c r="G230" s="7"/>
      <c r="H230" s="7"/>
      <c r="I230" s="7"/>
      <c r="J230" s="7"/>
      <c r="K230" s="7"/>
    </row>
    <row r="231" spans="5:11" x14ac:dyDescent="0.2">
      <c r="E231" s="7"/>
      <c r="F231" s="7"/>
      <c r="G231" s="7"/>
      <c r="H231" s="7"/>
      <c r="I231" s="7"/>
      <c r="J231" s="7"/>
      <c r="K231" s="7"/>
    </row>
    <row r="232" spans="5:11" x14ac:dyDescent="0.2">
      <c r="E232" s="7"/>
      <c r="F232" s="7"/>
      <c r="G232" s="7"/>
      <c r="H232" s="7"/>
      <c r="I232" s="7"/>
      <c r="J232" s="7"/>
      <c r="K232" s="7"/>
    </row>
    <row r="233" spans="5:11" x14ac:dyDescent="0.2">
      <c r="E233" s="7"/>
      <c r="F233" s="7"/>
      <c r="G233" s="7"/>
      <c r="H233" s="7"/>
      <c r="I233" s="7"/>
      <c r="J233" s="7"/>
      <c r="K233" s="7"/>
    </row>
    <row r="234" spans="5:11" x14ac:dyDescent="0.2">
      <c r="E234" s="7"/>
      <c r="F234" s="7"/>
      <c r="G234" s="7"/>
      <c r="H234" s="7"/>
      <c r="I234" s="7"/>
      <c r="J234" s="7"/>
      <c r="K234" s="7"/>
    </row>
    <row r="235" spans="5:11" x14ac:dyDescent="0.2">
      <c r="E235" s="7"/>
      <c r="F235" s="7"/>
      <c r="G235" s="7"/>
      <c r="H235" s="7"/>
      <c r="I235" s="7"/>
      <c r="J235" s="7"/>
      <c r="K235" s="7"/>
    </row>
    <row r="240" spans="5:11" x14ac:dyDescent="0.2">
      <c r="E240">
        <f t="shared" ref="E240:K240" si="73">E190</f>
        <v>1985</v>
      </c>
      <c r="F240">
        <f t="shared" si="73"/>
        <v>1986</v>
      </c>
      <c r="G240">
        <f t="shared" si="73"/>
        <v>1987</v>
      </c>
      <c r="H240">
        <f t="shared" si="73"/>
        <v>1988</v>
      </c>
      <c r="I240">
        <f t="shared" si="73"/>
        <v>1998</v>
      </c>
      <c r="J240">
        <f t="shared" si="73"/>
        <v>2002</v>
      </c>
      <c r="K240">
        <f t="shared" si="73"/>
        <v>2006</v>
      </c>
    </row>
    <row r="241" spans="4:11" x14ac:dyDescent="0.2">
      <c r="D241">
        <f t="shared" ref="D241:H244" si="74">D199</f>
        <v>326</v>
      </c>
      <c r="E241" s="7">
        <f t="shared" si="74"/>
        <v>577.40684679445974</v>
      </c>
      <c r="F241" s="7">
        <f t="shared" si="74"/>
        <v>500.98535236578118</v>
      </c>
      <c r="G241" s="7">
        <f t="shared" si="74"/>
        <v>532.46520914941027</v>
      </c>
      <c r="H241" s="7">
        <f t="shared" si="74"/>
        <v>521.69578446027401</v>
      </c>
      <c r="I241" s="7"/>
      <c r="J241" s="7"/>
      <c r="K241" s="7"/>
    </row>
    <row r="242" spans="4:11" x14ac:dyDescent="0.2">
      <c r="D242">
        <f t="shared" si="74"/>
        <v>327</v>
      </c>
      <c r="E242" s="7">
        <f t="shared" si="74"/>
        <v>2657.2371263069717</v>
      </c>
      <c r="F242" s="7">
        <f t="shared" si="74"/>
        <v>2301.1589518966789</v>
      </c>
      <c r="G242" s="7">
        <f t="shared" si="74"/>
        <v>2070.8730671264161</v>
      </c>
      <c r="H242" s="7">
        <f t="shared" si="74"/>
        <v>2013.6765729498679</v>
      </c>
      <c r="I242" s="7"/>
      <c r="J242" s="7"/>
      <c r="K242" s="7"/>
    </row>
    <row r="243" spans="4:11" x14ac:dyDescent="0.2">
      <c r="D243">
        <f t="shared" si="74"/>
        <v>331</v>
      </c>
      <c r="E243" s="7">
        <f t="shared" si="74"/>
        <v>4339.9602459174175</v>
      </c>
      <c r="F243" s="7">
        <f t="shared" si="74"/>
        <v>3336.1303610854025</v>
      </c>
      <c r="G243" s="7">
        <f t="shared" si="74"/>
        <v>2887.3118056325779</v>
      </c>
      <c r="H243" s="7">
        <f t="shared" si="74"/>
        <v>3116.8741104477103</v>
      </c>
      <c r="I243" s="7"/>
      <c r="J243" s="7"/>
      <c r="K243" s="7"/>
    </row>
    <row r="244" spans="4:11" x14ac:dyDescent="0.2">
      <c r="D244">
        <f t="shared" si="74"/>
        <v>332</v>
      </c>
      <c r="E244" s="7">
        <f t="shared" si="74"/>
        <v>1124.3502443921664</v>
      </c>
      <c r="F244" s="7">
        <f t="shared" si="74"/>
        <v>995.82878054874004</v>
      </c>
      <c r="G244" s="7">
        <f t="shared" si="74"/>
        <v>957.40108597662811</v>
      </c>
      <c r="H244" s="7">
        <f t="shared" si="74"/>
        <v>993.52102639808663</v>
      </c>
      <c r="I244" s="7"/>
      <c r="J244" s="7"/>
      <c r="K244" s="7"/>
    </row>
    <row r="265" spans="4:11" x14ac:dyDescent="0.2">
      <c r="E265">
        <f t="shared" ref="E265:K265" si="75">E190</f>
        <v>1985</v>
      </c>
      <c r="F265">
        <f t="shared" si="75"/>
        <v>1986</v>
      </c>
      <c r="G265">
        <f t="shared" si="75"/>
        <v>1987</v>
      </c>
      <c r="H265">
        <f t="shared" si="75"/>
        <v>1988</v>
      </c>
      <c r="I265">
        <f t="shared" si="75"/>
        <v>1998</v>
      </c>
      <c r="J265">
        <f t="shared" si="75"/>
        <v>2002</v>
      </c>
      <c r="K265">
        <f t="shared" si="75"/>
        <v>2006</v>
      </c>
    </row>
    <row r="266" spans="4:11" x14ac:dyDescent="0.2">
      <c r="D266">
        <f t="shared" ref="D266:K269" si="76">D203</f>
        <v>333</v>
      </c>
      <c r="E266" s="7">
        <f t="shared" si="76"/>
        <v>613.5172965475607</v>
      </c>
      <c r="F266" s="7">
        <f t="shared" si="76"/>
        <v>538.09507256146662</v>
      </c>
      <c r="G266" s="7">
        <f t="shared" si="76"/>
        <v>477.49102736513851</v>
      </c>
      <c r="H266" s="7">
        <f t="shared" si="76"/>
        <v>476.87449476454827</v>
      </c>
      <c r="I266" s="7">
        <f t="shared" si="76"/>
        <v>116.85666400000001</v>
      </c>
      <c r="J266" s="7">
        <f t="shared" si="76"/>
        <v>91.191044000000005</v>
      </c>
      <c r="K266" s="7">
        <f t="shared" si="76"/>
        <v>93.471671999999998</v>
      </c>
    </row>
    <row r="267" spans="4:11" x14ac:dyDescent="0.2">
      <c r="D267">
        <f t="shared" si="76"/>
        <v>334</v>
      </c>
      <c r="E267" s="7">
        <f t="shared" si="76"/>
        <v>291.98100673447351</v>
      </c>
      <c r="F267" s="7">
        <f t="shared" si="76"/>
        <v>250.35862224355006</v>
      </c>
      <c r="G267" s="7">
        <f t="shared" si="76"/>
        <v>242.48488052117449</v>
      </c>
      <c r="H267" s="7">
        <f t="shared" si="76"/>
        <v>240.59903893410413</v>
      </c>
      <c r="I267" s="7">
        <f t="shared" si="76"/>
        <v>67.813715999999999</v>
      </c>
      <c r="J267" s="7">
        <f t="shared" si="76"/>
        <v>69.142976000000004</v>
      </c>
      <c r="K267" s="7">
        <f t="shared" si="76"/>
        <v>47.139291999999998</v>
      </c>
    </row>
    <row r="268" spans="4:11" x14ac:dyDescent="0.2">
      <c r="D268">
        <f t="shared" si="76"/>
        <v>335</v>
      </c>
      <c r="E268" s="7">
        <f t="shared" si="76"/>
        <v>366.8042797694564</v>
      </c>
      <c r="F268" s="7">
        <f t="shared" si="76"/>
        <v>313.25000485525999</v>
      </c>
      <c r="G268" s="7">
        <f t="shared" si="76"/>
        <v>259.54884321598377</v>
      </c>
      <c r="H268" s="7">
        <f t="shared" si="76"/>
        <v>235.64381002161588</v>
      </c>
      <c r="I268" s="7">
        <f t="shared" si="76"/>
        <v>60.671008</v>
      </c>
      <c r="J268" s="7">
        <f t="shared" si="76"/>
        <v>55.569788000000003</v>
      </c>
      <c r="K268" s="7">
        <f t="shared" si="76"/>
        <v>43.097796000000002</v>
      </c>
    </row>
    <row r="269" spans="4:11" x14ac:dyDescent="0.2">
      <c r="D269">
        <f t="shared" si="76"/>
        <v>336</v>
      </c>
      <c r="E269" s="7">
        <f t="shared" si="76"/>
        <v>1048.1176591429162</v>
      </c>
      <c r="F269" s="7">
        <f t="shared" si="76"/>
        <v>901.08117540303283</v>
      </c>
      <c r="G269" s="7">
        <f t="shared" si="76"/>
        <v>833.33238468453624</v>
      </c>
      <c r="H269" s="7">
        <f t="shared" si="76"/>
        <v>865.96679427310994</v>
      </c>
      <c r="I269" s="7">
        <f t="shared" si="76"/>
        <v>292.75512400000002</v>
      </c>
      <c r="J269" s="7">
        <f t="shared" si="76"/>
        <v>251.66670399999998</v>
      </c>
      <c r="K269" s="7">
        <f t="shared" si="76"/>
        <v>283.93937199999999</v>
      </c>
    </row>
    <row r="289" spans="4:11" x14ac:dyDescent="0.2">
      <c r="E289">
        <f t="shared" ref="E289:K289" si="77">E190</f>
        <v>1985</v>
      </c>
      <c r="F289">
        <f t="shared" si="77"/>
        <v>1986</v>
      </c>
      <c r="G289">
        <f t="shared" si="77"/>
        <v>1987</v>
      </c>
      <c r="H289">
        <f t="shared" si="77"/>
        <v>1988</v>
      </c>
      <c r="I289">
        <f t="shared" si="77"/>
        <v>1998</v>
      </c>
      <c r="J289">
        <f t="shared" si="77"/>
        <v>2002</v>
      </c>
      <c r="K289">
        <f t="shared" si="77"/>
        <v>2006</v>
      </c>
    </row>
    <row r="290" spans="4:11" x14ac:dyDescent="0.2">
      <c r="D290">
        <f t="shared" ref="D290:K291" si="78">D207</f>
        <v>337</v>
      </c>
      <c r="E290" s="7">
        <f t="shared" si="78"/>
        <v>165.99525640535066</v>
      </c>
      <c r="F290" s="7">
        <f t="shared" si="78"/>
        <v>152.64443149339215</v>
      </c>
      <c r="G290" s="7">
        <f t="shared" si="78"/>
        <v>154.31328460738698</v>
      </c>
      <c r="H290" s="7">
        <f t="shared" si="78"/>
        <v>158.42978895524087</v>
      </c>
      <c r="I290" s="7">
        <f t="shared" si="78"/>
        <v>58.499848</v>
      </c>
      <c r="J290" s="7">
        <f t="shared" si="78"/>
        <v>38.904455999999996</v>
      </c>
      <c r="K290" s="7">
        <f t="shared" si="78"/>
        <v>28.391231999999999</v>
      </c>
    </row>
    <row r="291" spans="4:11" x14ac:dyDescent="0.2">
      <c r="D291">
        <f t="shared" si="78"/>
        <v>339</v>
      </c>
      <c r="E291" s="7">
        <f t="shared" si="78"/>
        <v>174.74674335299875</v>
      </c>
      <c r="F291" s="7">
        <f t="shared" si="78"/>
        <v>155.16329883457362</v>
      </c>
      <c r="G291" s="7">
        <f t="shared" si="78"/>
        <v>165.10844409991387</v>
      </c>
      <c r="H291" s="7">
        <f t="shared" si="78"/>
        <v>173.81121894200757</v>
      </c>
      <c r="I291" s="7">
        <f t="shared" si="78"/>
        <v>47.700868</v>
      </c>
      <c r="J291" s="7">
        <f t="shared" si="78"/>
        <v>35.603912000000001</v>
      </c>
      <c r="K291" s="7">
        <f t="shared" si="78"/>
        <v>32.982075999999999</v>
      </c>
    </row>
  </sheetData>
  <phoneticPr fontId="9" type="noConversion"/>
  <pageMargins left="0.75" right="0.75" top="1" bottom="1" header="0.5" footer="0.5"/>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135"/>
  <sheetViews>
    <sheetView topLeftCell="BD1" workbookViewId="0">
      <selection activeCell="BJ27" sqref="BJ27"/>
    </sheetView>
  </sheetViews>
  <sheetFormatPr defaultColWidth="9.140625" defaultRowHeight="15" x14ac:dyDescent="0.25"/>
  <cols>
    <col min="1" max="1" width="11.140625" style="50" customWidth="1"/>
    <col min="2" max="16384" width="9.140625" style="50"/>
  </cols>
  <sheetData>
    <row r="1" spans="1:65" x14ac:dyDescent="0.25">
      <c r="A1" s="50" t="s">
        <v>234</v>
      </c>
      <c r="B1" s="50" t="s">
        <v>235</v>
      </c>
      <c r="C1" s="50">
        <f>1958</f>
        <v>1958</v>
      </c>
      <c r="D1" s="50">
        <f>C1+1</f>
        <v>1959</v>
      </c>
      <c r="E1" s="50">
        <f t="shared" ref="E1:AD1" si="0">D1+1</f>
        <v>1960</v>
      </c>
      <c r="F1" s="50">
        <f t="shared" si="0"/>
        <v>1961</v>
      </c>
      <c r="G1" s="50">
        <f t="shared" si="0"/>
        <v>1962</v>
      </c>
      <c r="H1" s="50">
        <f t="shared" si="0"/>
        <v>1963</v>
      </c>
      <c r="I1" s="50">
        <f t="shared" si="0"/>
        <v>1964</v>
      </c>
      <c r="J1" s="50">
        <f t="shared" si="0"/>
        <v>1965</v>
      </c>
      <c r="K1" s="50">
        <f t="shared" si="0"/>
        <v>1966</v>
      </c>
      <c r="L1" s="50">
        <f t="shared" si="0"/>
        <v>1967</v>
      </c>
      <c r="M1" s="50">
        <f t="shared" si="0"/>
        <v>1968</v>
      </c>
      <c r="N1" s="50">
        <f t="shared" si="0"/>
        <v>1969</v>
      </c>
      <c r="O1" s="50">
        <f t="shared" si="0"/>
        <v>1970</v>
      </c>
      <c r="P1" s="50">
        <f t="shared" si="0"/>
        <v>1971</v>
      </c>
      <c r="Q1" s="50">
        <f t="shared" si="0"/>
        <v>1972</v>
      </c>
      <c r="R1" s="50">
        <f t="shared" si="0"/>
        <v>1973</v>
      </c>
      <c r="S1" s="50">
        <f t="shared" si="0"/>
        <v>1974</v>
      </c>
      <c r="T1" s="50">
        <f t="shared" si="0"/>
        <v>1975</v>
      </c>
      <c r="U1" s="50">
        <f t="shared" si="0"/>
        <v>1976</v>
      </c>
      <c r="V1" s="50">
        <f t="shared" si="0"/>
        <v>1977</v>
      </c>
      <c r="W1" s="50">
        <f t="shared" si="0"/>
        <v>1978</v>
      </c>
      <c r="X1" s="50">
        <f t="shared" si="0"/>
        <v>1979</v>
      </c>
      <c r="Y1" s="50">
        <f t="shared" si="0"/>
        <v>1980</v>
      </c>
      <c r="Z1" s="50">
        <f t="shared" si="0"/>
        <v>1981</v>
      </c>
      <c r="AA1" s="50">
        <f t="shared" si="0"/>
        <v>1982</v>
      </c>
      <c r="AB1" s="50">
        <f t="shared" si="0"/>
        <v>1983</v>
      </c>
      <c r="AC1" s="50">
        <f t="shared" si="0"/>
        <v>1984</v>
      </c>
      <c r="AD1" s="50">
        <f t="shared" si="0"/>
        <v>1985</v>
      </c>
      <c r="AI1" s="50">
        <v>1958</v>
      </c>
      <c r="AJ1" s="50">
        <f>AI1+1</f>
        <v>1959</v>
      </c>
      <c r="AK1" s="50">
        <f t="shared" ref="AK1:BJ1" si="1">AJ1+1</f>
        <v>1960</v>
      </c>
      <c r="AL1" s="50">
        <f t="shared" si="1"/>
        <v>1961</v>
      </c>
      <c r="AM1" s="50">
        <f t="shared" si="1"/>
        <v>1962</v>
      </c>
      <c r="AN1" s="50">
        <f t="shared" si="1"/>
        <v>1963</v>
      </c>
      <c r="AO1" s="50">
        <f t="shared" si="1"/>
        <v>1964</v>
      </c>
      <c r="AP1" s="50">
        <f t="shared" si="1"/>
        <v>1965</v>
      </c>
      <c r="AQ1" s="50">
        <f t="shared" si="1"/>
        <v>1966</v>
      </c>
      <c r="AR1" s="50">
        <f t="shared" si="1"/>
        <v>1967</v>
      </c>
      <c r="AS1" s="50">
        <f t="shared" si="1"/>
        <v>1968</v>
      </c>
      <c r="AT1" s="50">
        <f t="shared" si="1"/>
        <v>1969</v>
      </c>
      <c r="AU1" s="50">
        <f t="shared" si="1"/>
        <v>1970</v>
      </c>
      <c r="AV1" s="50">
        <f t="shared" si="1"/>
        <v>1971</v>
      </c>
      <c r="AW1" s="50">
        <f t="shared" si="1"/>
        <v>1972</v>
      </c>
      <c r="AX1" s="50">
        <f t="shared" si="1"/>
        <v>1973</v>
      </c>
      <c r="AY1" s="50">
        <f t="shared" si="1"/>
        <v>1974</v>
      </c>
      <c r="AZ1" s="50">
        <f t="shared" si="1"/>
        <v>1975</v>
      </c>
      <c r="BA1" s="50">
        <f t="shared" si="1"/>
        <v>1976</v>
      </c>
      <c r="BB1" s="50">
        <f t="shared" si="1"/>
        <v>1977</v>
      </c>
      <c r="BC1" s="50">
        <f t="shared" si="1"/>
        <v>1978</v>
      </c>
      <c r="BD1" s="50">
        <f t="shared" si="1"/>
        <v>1979</v>
      </c>
      <c r="BE1" s="50">
        <f t="shared" si="1"/>
        <v>1980</v>
      </c>
      <c r="BF1" s="50">
        <f t="shared" si="1"/>
        <v>1981</v>
      </c>
      <c r="BG1" s="50">
        <f t="shared" si="1"/>
        <v>1982</v>
      </c>
      <c r="BH1" s="50">
        <f t="shared" si="1"/>
        <v>1983</v>
      </c>
      <c r="BI1" s="50">
        <f t="shared" si="1"/>
        <v>1984</v>
      </c>
      <c r="BJ1" s="50">
        <f t="shared" si="1"/>
        <v>1985</v>
      </c>
      <c r="BL1" s="107" t="s">
        <v>397</v>
      </c>
    </row>
    <row r="2" spans="1:65" x14ac:dyDescent="0.25">
      <c r="A2" s="50">
        <v>1</v>
      </c>
      <c r="B2" s="50">
        <v>400</v>
      </c>
      <c r="C2" s="50">
        <v>16.177</v>
      </c>
      <c r="D2" s="50">
        <v>19.295000000000002</v>
      </c>
      <c r="E2" s="50">
        <v>20.974</v>
      </c>
      <c r="F2" s="50">
        <v>22.39</v>
      </c>
      <c r="G2" s="50">
        <v>23.068999999999999</v>
      </c>
      <c r="H2" s="50">
        <v>23.815999999999999</v>
      </c>
      <c r="I2" s="50">
        <v>24.614000000000001</v>
      </c>
      <c r="J2" s="50">
        <v>22.484999999999999</v>
      </c>
      <c r="K2" s="50">
        <v>25.736999999999998</v>
      </c>
      <c r="L2" s="50">
        <v>26.111999999999998</v>
      </c>
      <c r="M2" s="50">
        <v>27.989000000000001</v>
      </c>
      <c r="N2" s="50">
        <v>27.885999999999999</v>
      </c>
      <c r="O2" s="50">
        <v>29.425000000000001</v>
      </c>
      <c r="P2" s="50">
        <v>32.216000000000001</v>
      </c>
      <c r="Q2" s="50">
        <v>27.463000000000001</v>
      </c>
      <c r="R2" s="50">
        <v>26.821000000000002</v>
      </c>
      <c r="S2" s="50">
        <v>28.068999999999999</v>
      </c>
      <c r="T2" s="50">
        <v>29.66</v>
      </c>
      <c r="U2" s="50">
        <v>39.9</v>
      </c>
      <c r="V2" s="50">
        <v>44.648000000000003</v>
      </c>
      <c r="W2" s="50">
        <v>54.895000000000003</v>
      </c>
      <c r="X2" s="50">
        <v>55.744999999999997</v>
      </c>
      <c r="Y2" s="50">
        <v>56.536000000000001</v>
      </c>
      <c r="Z2" s="50">
        <v>51.136000000000003</v>
      </c>
      <c r="AA2" s="50">
        <v>43.08</v>
      </c>
      <c r="AB2" s="50">
        <v>52.024999999999999</v>
      </c>
      <c r="AC2" s="50">
        <v>43.268999999999998</v>
      </c>
      <c r="AD2" s="50">
        <v>39.491</v>
      </c>
      <c r="AF2" s="50">
        <v>311</v>
      </c>
      <c r="AG2" s="50">
        <f>elechap2b!W2</f>
        <v>1</v>
      </c>
      <c r="AI2" s="50">
        <f>SUMIF($B$2:$B$132,"=311",C$2:C$132)</f>
        <v>54.506999999999998</v>
      </c>
      <c r="AJ2" s="50">
        <f t="shared" ref="AJ2:BJ2" si="2">SUMIF($B$2:$B$132,"=311",D$2:D$132)</f>
        <v>58.953000000000003</v>
      </c>
      <c r="AK2" s="50">
        <f t="shared" si="2"/>
        <v>62.208000000000006</v>
      </c>
      <c r="AL2" s="50">
        <f t="shared" si="2"/>
        <v>64.602999999999994</v>
      </c>
      <c r="AM2" s="50">
        <f t="shared" si="2"/>
        <v>66.374000000000009</v>
      </c>
      <c r="AN2" s="50">
        <f t="shared" si="2"/>
        <v>69.989999999999995</v>
      </c>
      <c r="AO2" s="50">
        <f t="shared" si="2"/>
        <v>79.613</v>
      </c>
      <c r="AP2" s="50">
        <f t="shared" si="2"/>
        <v>77.787999999999997</v>
      </c>
      <c r="AQ2" s="50">
        <f t="shared" si="2"/>
        <v>82.738</v>
      </c>
      <c r="AR2" s="50">
        <f t="shared" si="2"/>
        <v>85.772000000000006</v>
      </c>
      <c r="AS2" s="50">
        <f t="shared" si="2"/>
        <v>94.352999999999994</v>
      </c>
      <c r="AT2" s="50">
        <f t="shared" si="2"/>
        <v>102.03</v>
      </c>
      <c r="AU2" s="50">
        <f t="shared" si="2"/>
        <v>118.012</v>
      </c>
      <c r="AV2" s="50">
        <f t="shared" si="2"/>
        <v>118.377</v>
      </c>
      <c r="AW2" s="50">
        <f t="shared" si="2"/>
        <v>120.59500000000001</v>
      </c>
      <c r="AX2" s="50">
        <f t="shared" si="2"/>
        <v>125.497</v>
      </c>
      <c r="AY2" s="50">
        <f t="shared" si="2"/>
        <v>129.32599999999999</v>
      </c>
      <c r="AZ2" s="50">
        <f t="shared" si="2"/>
        <v>134.33099999999999</v>
      </c>
      <c r="BA2" s="50">
        <f t="shared" si="2"/>
        <v>137.11600000000001</v>
      </c>
      <c r="BB2" s="50">
        <f t="shared" si="2"/>
        <v>140.90299999999999</v>
      </c>
      <c r="BC2" s="50">
        <f t="shared" si="2"/>
        <v>142.58099999999999</v>
      </c>
      <c r="BD2" s="50">
        <f t="shared" si="2"/>
        <v>139.40300000000002</v>
      </c>
      <c r="BE2" s="50">
        <f t="shared" si="2"/>
        <v>145.04899999999998</v>
      </c>
      <c r="BF2" s="50">
        <f t="shared" si="2"/>
        <v>146.20400000000001</v>
      </c>
      <c r="BG2" s="50">
        <f t="shared" si="2"/>
        <v>161.75099999999998</v>
      </c>
      <c r="BH2" s="50">
        <f t="shared" si="2"/>
        <v>154.989</v>
      </c>
      <c r="BI2" s="50">
        <f t="shared" si="2"/>
        <v>159.596</v>
      </c>
      <c r="BJ2" s="50">
        <f t="shared" si="2"/>
        <v>159.95499999999998</v>
      </c>
      <c r="BL2" s="50">
        <f>elechap2b!AF2</f>
        <v>159.971</v>
      </c>
      <c r="BM2" s="50">
        <f>AF2</f>
        <v>311</v>
      </c>
    </row>
    <row r="3" spans="1:65" x14ac:dyDescent="0.25">
      <c r="A3" s="50">
        <f>A2+1</f>
        <v>2</v>
      </c>
      <c r="B3" s="50">
        <v>400</v>
      </c>
      <c r="C3" s="50">
        <v>28.972000000000001</v>
      </c>
      <c r="D3" s="50">
        <v>34.311</v>
      </c>
      <c r="E3" s="50">
        <v>37.972000000000001</v>
      </c>
      <c r="F3" s="50">
        <v>39.249000000000002</v>
      </c>
      <c r="G3" s="50">
        <v>40.558999999999997</v>
      </c>
      <c r="H3" s="50">
        <v>41.801000000000002</v>
      </c>
      <c r="I3" s="50">
        <v>42.097999999999999</v>
      </c>
      <c r="J3" s="50">
        <v>45.734999999999999</v>
      </c>
      <c r="K3" s="50">
        <v>45.601999999999997</v>
      </c>
      <c r="L3" s="50">
        <v>47.692999999999998</v>
      </c>
      <c r="M3" s="50">
        <v>49.914999999999999</v>
      </c>
      <c r="N3" s="50">
        <v>56.134999999999998</v>
      </c>
      <c r="O3" s="50">
        <v>59.628999999999998</v>
      </c>
      <c r="P3" s="50">
        <v>61.920999999999999</v>
      </c>
      <c r="Q3" s="50">
        <v>61.558</v>
      </c>
      <c r="R3" s="50">
        <v>65.108999999999995</v>
      </c>
      <c r="S3" s="50">
        <v>61.752000000000002</v>
      </c>
      <c r="T3" s="50">
        <v>61.075000000000003</v>
      </c>
      <c r="U3" s="50">
        <v>63.631999999999998</v>
      </c>
      <c r="V3" s="50">
        <v>63.08</v>
      </c>
      <c r="W3" s="50">
        <v>64.138999999999996</v>
      </c>
      <c r="X3" s="50">
        <v>76.251999999999995</v>
      </c>
      <c r="Y3" s="50">
        <v>72.099999999999994</v>
      </c>
      <c r="Z3" s="50">
        <v>85.361999999999995</v>
      </c>
      <c r="AA3" s="50">
        <v>72.822999999999993</v>
      </c>
      <c r="AB3" s="50">
        <v>64.355000000000004</v>
      </c>
      <c r="AC3" s="50">
        <v>68.188000000000002</v>
      </c>
      <c r="AD3" s="50">
        <v>65.885999999999996</v>
      </c>
      <c r="AF3" s="50">
        <v>313</v>
      </c>
      <c r="AG3" s="50">
        <f>elechap2b!W3</f>
        <v>2</v>
      </c>
      <c r="AI3" s="50">
        <f>SUMIF($B$2:$B$132,"=313",C$2:C$132)</f>
        <v>40.430999999999997</v>
      </c>
      <c r="AJ3" s="50">
        <f t="shared" ref="AJ3:BJ3" si="3">SUMIF($B$2:$B$132,"=313",D$2:D$132)</f>
        <v>44.535000000000004</v>
      </c>
      <c r="AK3" s="50">
        <f t="shared" si="3"/>
        <v>44.997</v>
      </c>
      <c r="AL3" s="50">
        <f t="shared" si="3"/>
        <v>45.588000000000001</v>
      </c>
      <c r="AM3" s="50">
        <f t="shared" si="3"/>
        <v>48.182000000000002</v>
      </c>
      <c r="AN3" s="50">
        <f t="shared" si="3"/>
        <v>50.576000000000001</v>
      </c>
      <c r="AO3" s="50">
        <f t="shared" si="3"/>
        <v>55.349000000000004</v>
      </c>
      <c r="AP3" s="50">
        <f t="shared" si="3"/>
        <v>58.734000000000002</v>
      </c>
      <c r="AQ3" s="50">
        <f t="shared" si="3"/>
        <v>63.734999999999999</v>
      </c>
      <c r="AR3" s="50">
        <f t="shared" si="3"/>
        <v>70.122</v>
      </c>
      <c r="AS3" s="50">
        <f t="shared" si="3"/>
        <v>76.87700000000001</v>
      </c>
      <c r="AT3" s="50">
        <f t="shared" si="3"/>
        <v>82.000999999999991</v>
      </c>
      <c r="AU3" s="50">
        <f t="shared" si="3"/>
        <v>84.37299999999999</v>
      </c>
      <c r="AV3" s="50">
        <f t="shared" si="3"/>
        <v>88.457999999999998</v>
      </c>
      <c r="AW3" s="50">
        <f t="shared" si="3"/>
        <v>96.656999999999996</v>
      </c>
      <c r="AX3" s="50">
        <f t="shared" si="3"/>
        <v>100.96899999999999</v>
      </c>
      <c r="AY3" s="50">
        <f t="shared" si="3"/>
        <v>93.606000000000009</v>
      </c>
      <c r="AZ3" s="50">
        <f t="shared" si="3"/>
        <v>92.954999999999998</v>
      </c>
      <c r="BA3" s="50">
        <f t="shared" si="3"/>
        <v>97.764999999999986</v>
      </c>
      <c r="BB3" s="50">
        <f t="shared" si="3"/>
        <v>96.554999999999993</v>
      </c>
      <c r="BC3" s="50">
        <f t="shared" si="3"/>
        <v>96.180999999999997</v>
      </c>
      <c r="BD3" s="50">
        <f t="shared" si="3"/>
        <v>94.64800000000001</v>
      </c>
      <c r="BE3" s="50">
        <f t="shared" si="3"/>
        <v>91.668000000000006</v>
      </c>
      <c r="BF3" s="50">
        <f t="shared" si="3"/>
        <v>91.216999999999999</v>
      </c>
      <c r="BG3" s="50">
        <f t="shared" si="3"/>
        <v>85.969000000000008</v>
      </c>
      <c r="BH3" s="50">
        <f t="shared" si="3"/>
        <v>93.38000000000001</v>
      </c>
      <c r="BI3" s="50">
        <f t="shared" si="3"/>
        <v>95.377999999999986</v>
      </c>
      <c r="BJ3" s="50">
        <f t="shared" si="3"/>
        <v>91.731999999999999</v>
      </c>
      <c r="BL3" s="50">
        <f>elechap2b!AF3</f>
        <v>91.72999999999999</v>
      </c>
      <c r="BM3" s="50">
        <f t="shared" ref="BM3:BM21" si="4">AF3</f>
        <v>313</v>
      </c>
    </row>
    <row r="4" spans="1:65" x14ac:dyDescent="0.25">
      <c r="A4" s="50">
        <f t="shared" ref="A4:A67" si="5">A3+1</f>
        <v>3</v>
      </c>
      <c r="B4" s="50">
        <v>400</v>
      </c>
      <c r="C4" s="50">
        <v>2E-3</v>
      </c>
      <c r="D4" s="50">
        <v>2E-3</v>
      </c>
      <c r="E4" s="50">
        <v>2E-3</v>
      </c>
      <c r="F4" s="50">
        <v>2E-3</v>
      </c>
      <c r="G4" s="50">
        <v>2E-3</v>
      </c>
      <c r="H4" s="50">
        <v>2E-3</v>
      </c>
      <c r="I4" s="50">
        <v>2E-3</v>
      </c>
      <c r="J4" s="50">
        <v>3.0000000000000001E-3</v>
      </c>
      <c r="K4" s="50">
        <v>3.0000000000000001E-3</v>
      </c>
      <c r="L4" s="50">
        <v>4.0000000000000001E-3</v>
      </c>
      <c r="M4" s="50">
        <v>4.0000000000000001E-3</v>
      </c>
      <c r="N4" s="50">
        <v>4.0000000000000001E-3</v>
      </c>
      <c r="O4" s="50">
        <v>4.0000000000000001E-3</v>
      </c>
      <c r="P4" s="50">
        <v>4.0000000000000001E-3</v>
      </c>
      <c r="Q4" s="50">
        <v>5.0000000000000001E-3</v>
      </c>
      <c r="R4" s="50">
        <v>6.0000000000000001E-3</v>
      </c>
      <c r="S4" s="50">
        <v>7.0000000000000001E-3</v>
      </c>
      <c r="T4" s="50">
        <v>7.0000000000000001E-3</v>
      </c>
      <c r="U4" s="50">
        <v>8.0000000000000002E-3</v>
      </c>
      <c r="V4" s="50">
        <v>6.0000000000000001E-3</v>
      </c>
      <c r="W4" s="50">
        <v>6.0000000000000001E-3</v>
      </c>
      <c r="X4" s="50">
        <v>5.0000000000000001E-3</v>
      </c>
      <c r="Y4" s="50">
        <v>5.0000000000000001E-3</v>
      </c>
      <c r="Z4" s="50">
        <v>3.0000000000000001E-3</v>
      </c>
      <c r="AA4" s="50">
        <v>2E-3</v>
      </c>
      <c r="AB4" s="50">
        <v>2E-3</v>
      </c>
      <c r="AC4" s="50">
        <v>2E-3</v>
      </c>
      <c r="AD4" s="50">
        <v>2E-3</v>
      </c>
      <c r="AF4" s="50">
        <v>315</v>
      </c>
      <c r="AG4" s="50">
        <f>elechap2b!W4</f>
        <v>3</v>
      </c>
      <c r="AI4" s="50">
        <f>SUMIF($B$2:$B$132,"=315",C$2:C$132)</f>
        <v>8.8859999999999992</v>
      </c>
      <c r="AJ4" s="50">
        <f t="shared" ref="AJ4:BJ4" si="6">SUMIF($B$2:$B$132,"=315",D$2:D$132)</f>
        <v>9.2789999999999999</v>
      </c>
      <c r="AK4" s="50">
        <f t="shared" si="6"/>
        <v>9.4490000000000016</v>
      </c>
      <c r="AL4" s="50">
        <f t="shared" si="6"/>
        <v>9.6389999999999993</v>
      </c>
      <c r="AM4" s="50">
        <f t="shared" si="6"/>
        <v>10.706</v>
      </c>
      <c r="AN4" s="50">
        <f t="shared" si="6"/>
        <v>11.336</v>
      </c>
      <c r="AO4" s="50">
        <f t="shared" si="6"/>
        <v>12.79</v>
      </c>
      <c r="AP4" s="50">
        <f t="shared" si="6"/>
        <v>12.760999999999999</v>
      </c>
      <c r="AQ4" s="50">
        <f t="shared" si="6"/>
        <v>14.117000000000001</v>
      </c>
      <c r="AR4" s="50">
        <f t="shared" si="6"/>
        <v>15.830000000000002</v>
      </c>
      <c r="AS4" s="50">
        <f t="shared" si="6"/>
        <v>19.256999999999998</v>
      </c>
      <c r="AT4" s="50">
        <f t="shared" si="6"/>
        <v>19.338999999999999</v>
      </c>
      <c r="AU4" s="50">
        <f t="shared" si="6"/>
        <v>21.666</v>
      </c>
      <c r="AV4" s="50">
        <f t="shared" si="6"/>
        <v>21.315000000000001</v>
      </c>
      <c r="AW4" s="50">
        <f t="shared" si="6"/>
        <v>24.856000000000002</v>
      </c>
      <c r="AX4" s="50">
        <f t="shared" si="6"/>
        <v>25.651</v>
      </c>
      <c r="AY4" s="50">
        <f t="shared" si="6"/>
        <v>25.044000000000004</v>
      </c>
      <c r="AZ4" s="50">
        <f t="shared" si="6"/>
        <v>26.220000000000002</v>
      </c>
      <c r="BA4" s="50">
        <f t="shared" si="6"/>
        <v>26.064999999999998</v>
      </c>
      <c r="BB4" s="50">
        <f t="shared" si="6"/>
        <v>25.074000000000002</v>
      </c>
      <c r="BC4" s="50">
        <f t="shared" si="6"/>
        <v>23.367999999999999</v>
      </c>
      <c r="BD4" s="50">
        <f t="shared" si="6"/>
        <v>20.452999999999999</v>
      </c>
      <c r="BE4" s="50">
        <f t="shared" si="6"/>
        <v>21.411000000000001</v>
      </c>
      <c r="BF4" s="50">
        <f t="shared" si="6"/>
        <v>21.231000000000002</v>
      </c>
      <c r="BG4" s="50">
        <f t="shared" si="6"/>
        <v>21.222000000000001</v>
      </c>
      <c r="BH4" s="50">
        <f t="shared" si="6"/>
        <v>21.192</v>
      </c>
      <c r="BI4" s="50">
        <f t="shared" si="6"/>
        <v>23.468999999999998</v>
      </c>
      <c r="BJ4" s="50">
        <f t="shared" si="6"/>
        <v>19.818000000000001</v>
      </c>
      <c r="BL4" s="50">
        <f>elechap2b!AF4</f>
        <v>19.82</v>
      </c>
      <c r="BM4" s="50">
        <f t="shared" si="4"/>
        <v>315</v>
      </c>
    </row>
    <row r="5" spans="1:65" x14ac:dyDescent="0.25">
      <c r="A5" s="50">
        <f t="shared" si="5"/>
        <v>4</v>
      </c>
      <c r="B5" s="50">
        <v>400</v>
      </c>
      <c r="C5" s="50">
        <v>1.7729999999999999</v>
      </c>
      <c r="D5" s="50">
        <v>1.819</v>
      </c>
      <c r="E5" s="50">
        <v>1.897</v>
      </c>
      <c r="F5" s="50">
        <v>1.966</v>
      </c>
      <c r="G5" s="50">
        <v>2.0590000000000002</v>
      </c>
      <c r="H5" s="50">
        <v>2.0990000000000002</v>
      </c>
      <c r="I5" s="50">
        <v>2.2490000000000001</v>
      </c>
      <c r="J5" s="50">
        <v>2.3580000000000001</v>
      </c>
      <c r="K5" s="50">
        <v>2.4239999999999999</v>
      </c>
      <c r="L5" s="50">
        <v>2.4900000000000002</v>
      </c>
      <c r="M5" s="50">
        <v>2.6059999999999999</v>
      </c>
      <c r="N5" s="50">
        <v>2.6970000000000001</v>
      </c>
      <c r="O5" s="50">
        <v>2.9369999999999998</v>
      </c>
      <c r="P5" s="50">
        <v>3.0870000000000002</v>
      </c>
      <c r="Q5" s="50">
        <v>3.2170000000000001</v>
      </c>
      <c r="R5" s="50">
        <v>3.3820000000000001</v>
      </c>
      <c r="S5" s="50">
        <v>3.492</v>
      </c>
      <c r="T5" s="50">
        <v>3.6160000000000001</v>
      </c>
      <c r="U5" s="50">
        <v>3.8719999999999999</v>
      </c>
      <c r="V5" s="50">
        <v>4.1609999999999996</v>
      </c>
      <c r="W5" s="50">
        <v>4.5810000000000004</v>
      </c>
      <c r="X5" s="50">
        <v>5.0129999999999999</v>
      </c>
      <c r="Y5" s="50">
        <v>5.3869999999999996</v>
      </c>
      <c r="Z5" s="50">
        <v>5.718</v>
      </c>
      <c r="AA5" s="50">
        <v>5.8529999999999998</v>
      </c>
      <c r="AB5" s="50">
        <v>5.9740000000000002</v>
      </c>
      <c r="AC5" s="50">
        <v>6.07</v>
      </c>
      <c r="AD5" s="50">
        <v>6.1769999999999996</v>
      </c>
      <c r="AF5" s="50">
        <f>elechap2b!V5</f>
        <v>321</v>
      </c>
      <c r="AG5" s="50">
        <f>elechap2b!W5</f>
        <v>4</v>
      </c>
      <c r="AI5" s="50">
        <f>SUMIF($B$2:$B$132,"=321",C$2:C$132)</f>
        <v>12.516</v>
      </c>
      <c r="AJ5" s="50">
        <f t="shared" ref="AJ5:BJ5" si="7">SUMIF($B$2:$B$132,"=321",D$2:D$132)</f>
        <v>14.099000000000002</v>
      </c>
      <c r="AK5" s="50">
        <f t="shared" si="7"/>
        <v>14.510000000000002</v>
      </c>
      <c r="AL5" s="50">
        <f t="shared" si="7"/>
        <v>15.488999999999999</v>
      </c>
      <c r="AM5" s="50">
        <f t="shared" si="7"/>
        <v>16.529999999999998</v>
      </c>
      <c r="AN5" s="50">
        <f t="shared" si="7"/>
        <v>17.146000000000001</v>
      </c>
      <c r="AO5" s="50">
        <f t="shared" si="7"/>
        <v>19.933999999999997</v>
      </c>
      <c r="AP5" s="50">
        <f t="shared" si="7"/>
        <v>19.994</v>
      </c>
      <c r="AQ5" s="50">
        <f t="shared" si="7"/>
        <v>22.803000000000001</v>
      </c>
      <c r="AR5" s="50">
        <f t="shared" si="7"/>
        <v>25.902999999999999</v>
      </c>
      <c r="AS5" s="50">
        <f t="shared" si="7"/>
        <v>30.664000000000001</v>
      </c>
      <c r="AT5" s="50">
        <f t="shared" si="7"/>
        <v>32.756</v>
      </c>
      <c r="AU5" s="50">
        <f t="shared" si="7"/>
        <v>35.766000000000005</v>
      </c>
      <c r="AV5" s="50">
        <f t="shared" si="7"/>
        <v>39.689</v>
      </c>
      <c r="AW5" s="50">
        <f t="shared" si="7"/>
        <v>46.337000000000003</v>
      </c>
      <c r="AX5" s="50">
        <f t="shared" si="7"/>
        <v>46.591999999999999</v>
      </c>
      <c r="AY5" s="50">
        <f t="shared" si="7"/>
        <v>50.767000000000003</v>
      </c>
      <c r="AZ5" s="50">
        <f t="shared" si="7"/>
        <v>49.445999999999998</v>
      </c>
      <c r="BA5" s="50">
        <f t="shared" si="7"/>
        <v>53.167000000000002</v>
      </c>
      <c r="BB5" s="50">
        <f t="shared" si="7"/>
        <v>55.122</v>
      </c>
      <c r="BC5" s="50">
        <f t="shared" si="7"/>
        <v>56.872</v>
      </c>
      <c r="BD5" s="50">
        <f t="shared" si="7"/>
        <v>54.815999999999995</v>
      </c>
      <c r="BE5" s="50">
        <f t="shared" si="7"/>
        <v>50.045000000000002</v>
      </c>
      <c r="BF5" s="50">
        <f t="shared" si="7"/>
        <v>49.568999999999996</v>
      </c>
      <c r="BG5" s="50">
        <f t="shared" si="7"/>
        <v>49.874000000000002</v>
      </c>
      <c r="BH5" s="50">
        <f t="shared" si="7"/>
        <v>52.704999999999998</v>
      </c>
      <c r="BI5" s="50">
        <f t="shared" si="7"/>
        <v>57.091000000000001</v>
      </c>
      <c r="BJ5" s="50">
        <f t="shared" si="7"/>
        <v>57.204000000000001</v>
      </c>
      <c r="BL5" s="50">
        <f>elechap2b!AF5</f>
        <v>57.199999999999996</v>
      </c>
      <c r="BM5" s="50">
        <f t="shared" si="4"/>
        <v>321</v>
      </c>
    </row>
    <row r="6" spans="1:65" x14ac:dyDescent="0.25">
      <c r="A6" s="50">
        <f t="shared" si="5"/>
        <v>5</v>
      </c>
      <c r="B6" s="50">
        <v>400</v>
      </c>
      <c r="C6" s="50">
        <v>4.2240000000000002</v>
      </c>
      <c r="D6" s="50">
        <v>4.1139999999999999</v>
      </c>
      <c r="E6" s="50">
        <v>6.0439999999999996</v>
      </c>
      <c r="F6" s="50">
        <v>5.5780000000000003</v>
      </c>
      <c r="G6" s="50">
        <v>5.4889999999999999</v>
      </c>
      <c r="H6" s="50">
        <v>6.1689999999999996</v>
      </c>
      <c r="I6" s="50">
        <v>7.867</v>
      </c>
      <c r="J6" s="50">
        <v>8.93</v>
      </c>
      <c r="K6" s="50">
        <v>10.701000000000001</v>
      </c>
      <c r="L6" s="50">
        <v>10.694000000000001</v>
      </c>
      <c r="M6" s="50">
        <v>11.835000000000001</v>
      </c>
      <c r="N6" s="50">
        <v>14.067</v>
      </c>
      <c r="O6" s="50">
        <v>14.896000000000001</v>
      </c>
      <c r="P6" s="50">
        <v>14.148999999999999</v>
      </c>
      <c r="Q6" s="50">
        <v>15.317</v>
      </c>
      <c r="R6" s="50">
        <v>20.552</v>
      </c>
      <c r="S6" s="50">
        <v>21.207999999999998</v>
      </c>
      <c r="T6" s="50">
        <v>20.768000000000001</v>
      </c>
      <c r="U6" s="50">
        <v>23.449000000000002</v>
      </c>
      <c r="V6" s="50">
        <v>19.725999999999999</v>
      </c>
      <c r="W6" s="50">
        <v>29.065000000000001</v>
      </c>
      <c r="X6" s="50">
        <v>31.96</v>
      </c>
      <c r="Y6" s="50">
        <v>28.582999999999998</v>
      </c>
      <c r="Z6" s="50">
        <v>29.181999999999999</v>
      </c>
      <c r="AA6" s="50">
        <v>15.781000000000001</v>
      </c>
      <c r="AB6" s="50">
        <v>18.039000000000001</v>
      </c>
      <c r="AC6" s="50">
        <v>26.466999999999999</v>
      </c>
      <c r="AD6" s="50">
        <v>26.812999999999999</v>
      </c>
      <c r="AF6" s="50">
        <f>elechap2b!V6</f>
        <v>322</v>
      </c>
      <c r="AG6" s="50">
        <f>elechap2b!W6</f>
        <v>5</v>
      </c>
      <c r="AI6" s="50">
        <f>SUMIF($B$2:$B$132,"=322",C$2:C$132)</f>
        <v>42.439</v>
      </c>
      <c r="AJ6" s="50">
        <f t="shared" ref="AJ6:BJ6" si="8">SUMIF($B$2:$B$132,"=322",D$2:D$132)</f>
        <v>47.887999999999998</v>
      </c>
      <c r="AK6" s="50">
        <f t="shared" si="8"/>
        <v>50.925000000000004</v>
      </c>
      <c r="AL6" s="50">
        <f t="shared" si="8"/>
        <v>53.302999999999997</v>
      </c>
      <c r="AM6" s="50">
        <f t="shared" si="8"/>
        <v>57.628999999999998</v>
      </c>
      <c r="AN6" s="50">
        <f t="shared" si="8"/>
        <v>63.037999999999997</v>
      </c>
      <c r="AO6" s="50">
        <f t="shared" si="8"/>
        <v>69.290999999999997</v>
      </c>
      <c r="AP6" s="50">
        <f t="shared" si="8"/>
        <v>73.27000000000001</v>
      </c>
      <c r="AQ6" s="50">
        <f t="shared" si="8"/>
        <v>82.454000000000008</v>
      </c>
      <c r="AR6" s="50">
        <f t="shared" si="8"/>
        <v>88.228999999999999</v>
      </c>
      <c r="AS6" s="50">
        <f t="shared" si="8"/>
        <v>99.341000000000008</v>
      </c>
      <c r="AT6" s="50">
        <f t="shared" si="8"/>
        <v>107.49499999999999</v>
      </c>
      <c r="AU6" s="50">
        <f t="shared" si="8"/>
        <v>112.87</v>
      </c>
      <c r="AV6" s="50">
        <f t="shared" si="8"/>
        <v>119.11399999999999</v>
      </c>
      <c r="AW6" s="50">
        <f t="shared" si="8"/>
        <v>125.52799999999999</v>
      </c>
      <c r="AX6" s="50">
        <f t="shared" si="8"/>
        <v>129.98500000000001</v>
      </c>
      <c r="AY6" s="50">
        <f t="shared" si="8"/>
        <v>139.44900000000001</v>
      </c>
      <c r="AZ6" s="50">
        <f t="shared" si="8"/>
        <v>133.482</v>
      </c>
      <c r="BA6" s="50">
        <f t="shared" si="8"/>
        <v>148.279</v>
      </c>
      <c r="BB6" s="50">
        <f t="shared" si="8"/>
        <v>152.04</v>
      </c>
      <c r="BC6" s="50">
        <f t="shared" si="8"/>
        <v>155.625</v>
      </c>
      <c r="BD6" s="50">
        <f t="shared" si="8"/>
        <v>157.50199999999998</v>
      </c>
      <c r="BE6" s="50">
        <f t="shared" si="8"/>
        <v>169.52399999999997</v>
      </c>
      <c r="BF6" s="50">
        <f t="shared" si="8"/>
        <v>178.10300000000001</v>
      </c>
      <c r="BG6" s="50">
        <f t="shared" si="8"/>
        <v>172.44199999999998</v>
      </c>
      <c r="BH6" s="50">
        <f t="shared" si="8"/>
        <v>176.792</v>
      </c>
      <c r="BI6" s="50">
        <f t="shared" si="8"/>
        <v>182.90299999999999</v>
      </c>
      <c r="BJ6" s="50">
        <f t="shared" si="8"/>
        <v>179.64299999999997</v>
      </c>
      <c r="BL6" s="50">
        <f>elechap2b!AF6</f>
        <v>179.67000000000002</v>
      </c>
      <c r="BM6" s="50">
        <f t="shared" si="4"/>
        <v>322</v>
      </c>
    </row>
    <row r="7" spans="1:65" x14ac:dyDescent="0.25">
      <c r="A7" s="50">
        <f t="shared" si="5"/>
        <v>6</v>
      </c>
      <c r="B7" s="50">
        <v>400</v>
      </c>
      <c r="C7" s="50">
        <v>0.72299999999999998</v>
      </c>
      <c r="D7" s="50">
        <v>1.016</v>
      </c>
      <c r="E7" s="50">
        <v>1.1759999999999999</v>
      </c>
      <c r="F7" s="50">
        <v>1.242</v>
      </c>
      <c r="G7" s="50">
        <v>1.1990000000000001</v>
      </c>
      <c r="H7" s="50">
        <v>1.099</v>
      </c>
      <c r="I7" s="50">
        <v>1.0820000000000001</v>
      </c>
      <c r="J7" s="50">
        <v>0.83899999999999997</v>
      </c>
      <c r="K7" s="50">
        <v>0.84199999999999997</v>
      </c>
      <c r="L7" s="50">
        <v>0.95299999999999996</v>
      </c>
      <c r="M7" s="50">
        <v>1.135</v>
      </c>
      <c r="N7" s="50">
        <v>1.1359999999999999</v>
      </c>
      <c r="O7" s="50">
        <v>1.2090000000000001</v>
      </c>
      <c r="P7" s="50">
        <v>1.228</v>
      </c>
      <c r="Q7" s="50">
        <v>1.3129999999999999</v>
      </c>
      <c r="R7" s="50">
        <v>1.474</v>
      </c>
      <c r="S7" s="50">
        <v>1.474</v>
      </c>
      <c r="T7" s="50">
        <v>1.62</v>
      </c>
      <c r="U7" s="50">
        <v>1.944</v>
      </c>
      <c r="V7" s="50">
        <v>2.468</v>
      </c>
      <c r="W7" s="50">
        <v>3.4060000000000001</v>
      </c>
      <c r="X7" s="50">
        <v>3.8140000000000001</v>
      </c>
      <c r="Y7" s="50">
        <v>4.8620000000000001</v>
      </c>
      <c r="Z7" s="50">
        <v>4.6589999999999998</v>
      </c>
      <c r="AA7" s="50">
        <v>3.4670000000000001</v>
      </c>
      <c r="AB7" s="50">
        <v>2.944</v>
      </c>
      <c r="AC7" s="50">
        <v>2.4350000000000001</v>
      </c>
      <c r="AD7" s="50">
        <v>1.913</v>
      </c>
      <c r="AF7" s="50">
        <f>elechap2b!V7</f>
        <v>323</v>
      </c>
      <c r="AG7" s="50">
        <f>elechap2b!W7</f>
        <v>6</v>
      </c>
      <c r="AI7" s="50">
        <f>SUMIF($B$2:$B$132,"=323",C$2:C$132)</f>
        <v>10.25</v>
      </c>
      <c r="AJ7" s="50">
        <f t="shared" ref="AJ7:BJ7" si="9">SUMIF($B$2:$B$132,"=323",D$2:D$132)</f>
        <v>11.26</v>
      </c>
      <c r="AK7" s="50">
        <f t="shared" si="9"/>
        <v>11.87</v>
      </c>
      <c r="AL7" s="50">
        <f t="shared" si="9"/>
        <v>12.771000000000001</v>
      </c>
      <c r="AM7" s="50">
        <f t="shared" si="9"/>
        <v>13.696</v>
      </c>
      <c r="AN7" s="50">
        <f t="shared" si="9"/>
        <v>13.986000000000001</v>
      </c>
      <c r="AO7" s="50">
        <f t="shared" si="9"/>
        <v>15.815</v>
      </c>
      <c r="AP7" s="50">
        <f t="shared" si="9"/>
        <v>16.312999999999999</v>
      </c>
      <c r="AQ7" s="50">
        <f t="shared" si="9"/>
        <v>17.251000000000001</v>
      </c>
      <c r="AR7" s="50">
        <f t="shared" si="9"/>
        <v>19.847999999999999</v>
      </c>
      <c r="AS7" s="50">
        <f t="shared" si="9"/>
        <v>23.556999999999999</v>
      </c>
      <c r="AT7" s="50">
        <f t="shared" si="9"/>
        <v>25.754000000000001</v>
      </c>
      <c r="AU7" s="50">
        <f t="shared" si="9"/>
        <v>31.045999999999999</v>
      </c>
      <c r="AV7" s="50">
        <f t="shared" si="9"/>
        <v>30.951000000000001</v>
      </c>
      <c r="AW7" s="50">
        <f t="shared" si="9"/>
        <v>31.254000000000001</v>
      </c>
      <c r="AX7" s="50">
        <f t="shared" si="9"/>
        <v>33.393999999999998</v>
      </c>
      <c r="AY7" s="50">
        <f t="shared" si="9"/>
        <v>30.684000000000001</v>
      </c>
      <c r="AZ7" s="50">
        <f t="shared" si="9"/>
        <v>33.898000000000003</v>
      </c>
      <c r="BA7" s="50">
        <f t="shared" si="9"/>
        <v>34.54</v>
      </c>
      <c r="BB7" s="50">
        <f t="shared" si="9"/>
        <v>36.011000000000003</v>
      </c>
      <c r="BC7" s="50">
        <f t="shared" si="9"/>
        <v>35.299999999999997</v>
      </c>
      <c r="BD7" s="50">
        <f t="shared" si="9"/>
        <v>32.374000000000002</v>
      </c>
      <c r="BE7" s="50">
        <f t="shared" si="9"/>
        <v>32.944000000000003</v>
      </c>
      <c r="BF7" s="50">
        <f t="shared" si="9"/>
        <v>35.151000000000003</v>
      </c>
      <c r="BG7" s="50">
        <f t="shared" si="9"/>
        <v>36.296999999999997</v>
      </c>
      <c r="BH7" s="50">
        <f t="shared" si="9"/>
        <v>36.463999999999999</v>
      </c>
      <c r="BI7" s="50">
        <f t="shared" si="9"/>
        <v>42.9</v>
      </c>
      <c r="BJ7" s="50">
        <f t="shared" si="9"/>
        <v>42.25</v>
      </c>
      <c r="BL7" s="50">
        <f>elechap2b!AF7</f>
        <v>42.25</v>
      </c>
      <c r="BM7" s="50">
        <f t="shared" si="4"/>
        <v>323</v>
      </c>
    </row>
    <row r="8" spans="1:65" x14ac:dyDescent="0.25">
      <c r="A8" s="50">
        <f t="shared" si="5"/>
        <v>7</v>
      </c>
      <c r="B8" s="50">
        <v>400</v>
      </c>
      <c r="C8" s="50">
        <v>8.2780000000000005</v>
      </c>
      <c r="D8" s="50">
        <v>7.8739999999999997</v>
      </c>
      <c r="E8" s="50">
        <v>9.6630000000000003</v>
      </c>
      <c r="F8" s="50">
        <v>10.669</v>
      </c>
      <c r="G8" s="50">
        <v>11.69</v>
      </c>
      <c r="H8" s="50">
        <v>12.106</v>
      </c>
      <c r="I8" s="50">
        <v>12.888</v>
      </c>
      <c r="J8" s="50">
        <v>14.464</v>
      </c>
      <c r="K8" s="50">
        <v>15.503</v>
      </c>
      <c r="L8" s="50">
        <v>12.092000000000001</v>
      </c>
      <c r="M8" s="50">
        <v>14.707000000000001</v>
      </c>
      <c r="N8" s="50">
        <v>18.113</v>
      </c>
      <c r="O8" s="50">
        <v>20.933</v>
      </c>
      <c r="P8" s="50">
        <v>19.637</v>
      </c>
      <c r="Q8" s="50">
        <v>21.419</v>
      </c>
      <c r="R8" s="50">
        <v>21.471</v>
      </c>
      <c r="S8" s="50">
        <v>20.765999999999998</v>
      </c>
      <c r="T8" s="50">
        <v>19.122</v>
      </c>
      <c r="U8" s="50">
        <v>20.960999999999999</v>
      </c>
      <c r="V8" s="50">
        <v>20.417000000000002</v>
      </c>
      <c r="W8" s="50">
        <v>20.190999999999999</v>
      </c>
      <c r="X8" s="50">
        <v>21.251999999999999</v>
      </c>
      <c r="Y8" s="50">
        <v>19.306000000000001</v>
      </c>
      <c r="Z8" s="50">
        <v>24.542000000000002</v>
      </c>
      <c r="AA8" s="50">
        <v>21.181000000000001</v>
      </c>
      <c r="AB8" s="50">
        <v>21.651</v>
      </c>
      <c r="AC8" s="50">
        <v>25.047999999999998</v>
      </c>
      <c r="AD8" s="50">
        <v>26.097000000000001</v>
      </c>
      <c r="AF8" s="50">
        <f>elechap2b!V8</f>
        <v>324</v>
      </c>
      <c r="AG8" s="50">
        <f>elechap2b!W8</f>
        <v>7</v>
      </c>
      <c r="AI8" s="50">
        <f>SUMIF($B$2:$B$132,"=324",C$2:C$132)</f>
        <v>32.398000000000003</v>
      </c>
      <c r="AJ8" s="50">
        <f t="shared" ref="AJ8:BJ8" si="10">SUMIF($B$2:$B$132,"=324",D$2:D$132)</f>
        <v>35.588000000000008</v>
      </c>
      <c r="AK8" s="50">
        <f t="shared" si="10"/>
        <v>37.985999999999997</v>
      </c>
      <c r="AL8" s="50">
        <f t="shared" si="10"/>
        <v>41.083999999999996</v>
      </c>
      <c r="AM8" s="50">
        <f t="shared" si="10"/>
        <v>43.168999999999997</v>
      </c>
      <c r="AN8" s="50">
        <f t="shared" si="10"/>
        <v>47.697000000000003</v>
      </c>
      <c r="AO8" s="50">
        <f t="shared" si="10"/>
        <v>50.314</v>
      </c>
      <c r="AP8" s="50">
        <f t="shared" si="10"/>
        <v>51.832000000000008</v>
      </c>
      <c r="AQ8" s="50">
        <f t="shared" si="10"/>
        <v>53.76</v>
      </c>
      <c r="AR8" s="50">
        <f t="shared" si="10"/>
        <v>62.052</v>
      </c>
      <c r="AS8" s="50">
        <f t="shared" si="10"/>
        <v>68.731999999999999</v>
      </c>
      <c r="AT8" s="50">
        <f t="shared" si="10"/>
        <v>73.910999999999987</v>
      </c>
      <c r="AU8" s="50">
        <f t="shared" si="10"/>
        <v>74.986000000000004</v>
      </c>
      <c r="AV8" s="50">
        <f t="shared" si="10"/>
        <v>80.489000000000004</v>
      </c>
      <c r="AW8" s="50">
        <f t="shared" si="10"/>
        <v>84.679000000000002</v>
      </c>
      <c r="AX8" s="50">
        <f t="shared" si="10"/>
        <v>88.725999999999999</v>
      </c>
      <c r="AY8" s="50">
        <f t="shared" si="10"/>
        <v>92.944000000000003</v>
      </c>
      <c r="AZ8" s="50">
        <f t="shared" si="10"/>
        <v>90.073999999999998</v>
      </c>
      <c r="BA8" s="50">
        <f t="shared" si="10"/>
        <v>94.558000000000007</v>
      </c>
      <c r="BB8" s="50">
        <f t="shared" si="10"/>
        <v>102.883</v>
      </c>
      <c r="BC8" s="50">
        <f t="shared" si="10"/>
        <v>103.254</v>
      </c>
      <c r="BD8" s="50">
        <f t="shared" si="10"/>
        <v>107.718</v>
      </c>
      <c r="BE8" s="50">
        <f t="shared" si="10"/>
        <v>109.90799999999999</v>
      </c>
      <c r="BF8" s="50">
        <f t="shared" si="10"/>
        <v>111.048</v>
      </c>
      <c r="BG8" s="50">
        <f t="shared" si="10"/>
        <v>116.64</v>
      </c>
      <c r="BH8" s="50">
        <f t="shared" si="10"/>
        <v>114.111</v>
      </c>
      <c r="BI8" s="50">
        <f t="shared" si="10"/>
        <v>118.72799999999999</v>
      </c>
      <c r="BJ8" s="50">
        <f t="shared" si="10"/>
        <v>119.25</v>
      </c>
      <c r="BL8" s="50">
        <f>elechap2b!AF8</f>
        <v>119.23399999999999</v>
      </c>
      <c r="BM8" s="50">
        <f t="shared" si="4"/>
        <v>324</v>
      </c>
    </row>
    <row r="9" spans="1:65" x14ac:dyDescent="0.25">
      <c r="A9" s="50">
        <f t="shared" si="5"/>
        <v>8</v>
      </c>
      <c r="B9" s="50">
        <v>400</v>
      </c>
      <c r="C9" s="50">
        <v>1.9239999999999999</v>
      </c>
      <c r="D9" s="50">
        <v>1.7729999999999999</v>
      </c>
      <c r="E9" s="50">
        <v>1.633</v>
      </c>
      <c r="F9" s="50">
        <v>1.43</v>
      </c>
      <c r="G9" s="50">
        <v>1.343</v>
      </c>
      <c r="H9" s="50">
        <v>1.2829999999999999</v>
      </c>
      <c r="I9" s="50">
        <v>1.0629999999999999</v>
      </c>
      <c r="J9" s="50">
        <v>1.113</v>
      </c>
      <c r="K9" s="50">
        <v>0.999</v>
      </c>
      <c r="L9" s="50">
        <v>0.86399999999999999</v>
      </c>
      <c r="M9" s="50">
        <v>0.84499999999999997</v>
      </c>
      <c r="N9" s="50">
        <v>0.86199999999999999</v>
      </c>
      <c r="O9" s="50">
        <v>0.92</v>
      </c>
      <c r="P9" s="50">
        <v>0.83599999999999997</v>
      </c>
      <c r="Q9" s="50">
        <v>0.89600000000000002</v>
      </c>
      <c r="R9" s="50">
        <v>0.82899999999999996</v>
      </c>
      <c r="S9" s="50">
        <v>0.78300000000000003</v>
      </c>
      <c r="T9" s="50">
        <v>0.77300000000000002</v>
      </c>
      <c r="U9" s="50">
        <v>0.74</v>
      </c>
      <c r="V9" s="50">
        <v>0.68100000000000005</v>
      </c>
      <c r="W9" s="50">
        <v>0.63200000000000001</v>
      </c>
      <c r="X9" s="50">
        <v>0.70699999999999996</v>
      </c>
      <c r="Y9" s="50">
        <v>0.72</v>
      </c>
      <c r="Z9" s="50">
        <v>0.67900000000000005</v>
      </c>
      <c r="AA9" s="50">
        <v>0.66600000000000004</v>
      </c>
      <c r="AB9" s="50">
        <v>0.58599999999999997</v>
      </c>
      <c r="AC9" s="50">
        <v>0.62</v>
      </c>
      <c r="AD9" s="50">
        <v>0.57399999999999995</v>
      </c>
      <c r="AF9" s="50">
        <f>elechap2b!V9</f>
        <v>325</v>
      </c>
      <c r="AG9" s="50">
        <f>elechap2b!W9</f>
        <v>8</v>
      </c>
      <c r="AI9" s="50">
        <f>SUMIF($B$2:$B$132,"=325",C$2:C$132)</f>
        <v>268.53399999999993</v>
      </c>
      <c r="AJ9" s="50">
        <f t="shared" ref="AJ9:BJ9" si="11">SUMIF($B$2:$B$132,"=325",D$2:D$132)</f>
        <v>278.87499999999994</v>
      </c>
      <c r="AK9" s="50">
        <f t="shared" si="11"/>
        <v>283.14800000000002</v>
      </c>
      <c r="AL9" s="50">
        <f t="shared" si="11"/>
        <v>291.63599999999997</v>
      </c>
      <c r="AM9" s="50">
        <f t="shared" si="11"/>
        <v>289.32899999999995</v>
      </c>
      <c r="AN9" s="50">
        <f t="shared" si="11"/>
        <v>302.15999999999997</v>
      </c>
      <c r="AO9" s="50">
        <f t="shared" si="11"/>
        <v>278.33000000000004</v>
      </c>
      <c r="AP9" s="50">
        <f t="shared" si="11"/>
        <v>302.62700000000001</v>
      </c>
      <c r="AQ9" s="50">
        <f t="shared" si="11"/>
        <v>302.77299999999997</v>
      </c>
      <c r="AR9" s="50">
        <f t="shared" si="11"/>
        <v>316.298</v>
      </c>
      <c r="AS9" s="50">
        <f t="shared" si="11"/>
        <v>314.48599999999993</v>
      </c>
      <c r="AT9" s="50">
        <f t="shared" si="11"/>
        <v>325.71600000000001</v>
      </c>
      <c r="AU9" s="50">
        <f t="shared" si="11"/>
        <v>302.95900000000006</v>
      </c>
      <c r="AV9" s="50">
        <f t="shared" si="11"/>
        <v>334.37799999999999</v>
      </c>
      <c r="AW9" s="50">
        <f t="shared" si="11"/>
        <v>383.20000000000005</v>
      </c>
      <c r="AX9" s="50">
        <f t="shared" si="11"/>
        <v>409.428</v>
      </c>
      <c r="AY9" s="50">
        <f t="shared" si="11"/>
        <v>410.21499999999997</v>
      </c>
      <c r="AZ9" s="50">
        <f t="shared" si="11"/>
        <v>414.42500000000007</v>
      </c>
      <c r="BA9" s="50">
        <f t="shared" si="11"/>
        <v>471.72199999999998</v>
      </c>
      <c r="BB9" s="50">
        <f t="shared" si="11"/>
        <v>485.14700000000005</v>
      </c>
      <c r="BC9" s="50">
        <f t="shared" si="11"/>
        <v>478.25100000000003</v>
      </c>
      <c r="BD9" s="50">
        <f t="shared" si="11"/>
        <v>478.37899999999996</v>
      </c>
      <c r="BE9" s="50">
        <f t="shared" si="11"/>
        <v>438.97400000000005</v>
      </c>
      <c r="BF9" s="50">
        <f t="shared" si="11"/>
        <v>436.78099999999995</v>
      </c>
      <c r="BG9" s="50">
        <f t="shared" si="11"/>
        <v>398.42</v>
      </c>
      <c r="BH9" s="50">
        <f t="shared" si="11"/>
        <v>422.34299999999996</v>
      </c>
      <c r="BI9" s="50">
        <f t="shared" si="11"/>
        <v>454.23599999999993</v>
      </c>
      <c r="BJ9" s="50">
        <f t="shared" si="11"/>
        <v>427.69</v>
      </c>
      <c r="BL9" s="50">
        <f>elechap2b!AF9</f>
        <v>427.74600000000004</v>
      </c>
      <c r="BM9" s="50">
        <f t="shared" si="4"/>
        <v>325</v>
      </c>
    </row>
    <row r="10" spans="1:65" x14ac:dyDescent="0.25">
      <c r="A10" s="50">
        <f t="shared" si="5"/>
        <v>9</v>
      </c>
      <c r="B10" s="50">
        <v>400</v>
      </c>
      <c r="C10" s="50">
        <v>14.849</v>
      </c>
      <c r="D10" s="50">
        <v>14.976000000000001</v>
      </c>
      <c r="E10" s="50">
        <v>15.214</v>
      </c>
      <c r="F10" s="50">
        <v>14.833</v>
      </c>
      <c r="G10" s="50">
        <v>15.683</v>
      </c>
      <c r="H10" s="50">
        <v>17.108000000000001</v>
      </c>
      <c r="I10" s="50">
        <v>15.606</v>
      </c>
      <c r="J10" s="50">
        <v>18.251999999999999</v>
      </c>
      <c r="K10" s="50">
        <v>18.678999999999998</v>
      </c>
      <c r="L10" s="50">
        <v>18.922999999999998</v>
      </c>
      <c r="M10" s="50">
        <v>19.931000000000001</v>
      </c>
      <c r="N10" s="50">
        <v>21.789000000000001</v>
      </c>
      <c r="O10" s="50">
        <v>24.847999999999999</v>
      </c>
      <c r="P10" s="50">
        <v>24.05</v>
      </c>
      <c r="Q10" s="50">
        <v>27.34</v>
      </c>
      <c r="R10" s="50">
        <v>27.669</v>
      </c>
      <c r="S10" s="50">
        <v>28.716000000000001</v>
      </c>
      <c r="T10" s="50">
        <v>31.367000000000001</v>
      </c>
      <c r="U10" s="50">
        <v>33.442</v>
      </c>
      <c r="V10" s="50">
        <v>34.584000000000003</v>
      </c>
      <c r="W10" s="50">
        <v>34.512</v>
      </c>
      <c r="X10" s="50">
        <v>41.639000000000003</v>
      </c>
      <c r="Y10" s="50">
        <v>45.753999999999998</v>
      </c>
      <c r="Z10" s="50">
        <v>46.622</v>
      </c>
      <c r="AA10" s="50">
        <v>49.542999999999999</v>
      </c>
      <c r="AB10" s="50">
        <v>47.357999999999997</v>
      </c>
      <c r="AC10" s="50">
        <v>54.597999999999999</v>
      </c>
      <c r="AD10" s="50">
        <v>55.32</v>
      </c>
      <c r="AF10" s="50">
        <f>elechap2b!V10</f>
        <v>326</v>
      </c>
      <c r="AG10" s="50">
        <f>elechap2b!W10</f>
        <v>9</v>
      </c>
      <c r="AI10" s="50">
        <f>SUMIF($B$2:$B$132,"=326",C$2:C$132)</f>
        <v>17.353999999999999</v>
      </c>
      <c r="AJ10" s="50">
        <f t="shared" ref="AJ10:BJ10" si="12">SUMIF($B$2:$B$132,"=326",D$2:D$132)</f>
        <v>19.643000000000001</v>
      </c>
      <c r="AK10" s="50">
        <f t="shared" si="12"/>
        <v>20.597999999999999</v>
      </c>
      <c r="AL10" s="50">
        <f t="shared" si="12"/>
        <v>21.404</v>
      </c>
      <c r="AM10" s="50">
        <f t="shared" si="12"/>
        <v>24.021000000000001</v>
      </c>
      <c r="AN10" s="50">
        <f t="shared" si="12"/>
        <v>25.259</v>
      </c>
      <c r="AO10" s="50">
        <f t="shared" si="12"/>
        <v>27.548999999999999</v>
      </c>
      <c r="AP10" s="50">
        <f t="shared" si="12"/>
        <v>31.247</v>
      </c>
      <c r="AQ10" s="50">
        <f t="shared" si="12"/>
        <v>38.389000000000003</v>
      </c>
      <c r="AR10" s="50">
        <f t="shared" si="12"/>
        <v>36.475000000000001</v>
      </c>
      <c r="AS10" s="50">
        <f t="shared" si="12"/>
        <v>43.295000000000002</v>
      </c>
      <c r="AT10" s="50">
        <f t="shared" si="12"/>
        <v>47.607999999999997</v>
      </c>
      <c r="AU10" s="50">
        <f t="shared" si="12"/>
        <v>50.732999999999997</v>
      </c>
      <c r="AV10" s="50">
        <f t="shared" si="12"/>
        <v>55.055999999999997</v>
      </c>
      <c r="AW10" s="50">
        <f t="shared" si="12"/>
        <v>61.726999999999997</v>
      </c>
      <c r="AX10" s="50">
        <f t="shared" si="12"/>
        <v>68.227000000000004</v>
      </c>
      <c r="AY10" s="50">
        <f t="shared" si="12"/>
        <v>64.739999999999995</v>
      </c>
      <c r="AZ10" s="50">
        <f t="shared" si="12"/>
        <v>64.122</v>
      </c>
      <c r="BA10" s="50">
        <f t="shared" si="12"/>
        <v>67.387</v>
      </c>
      <c r="BB10" s="50">
        <f t="shared" si="12"/>
        <v>76.965000000000003</v>
      </c>
      <c r="BC10" s="50">
        <f t="shared" si="12"/>
        <v>78.375</v>
      </c>
      <c r="BD10" s="50">
        <f t="shared" si="12"/>
        <v>77.924999999999997</v>
      </c>
      <c r="BE10" s="50">
        <f t="shared" si="12"/>
        <v>73.906999999999996</v>
      </c>
      <c r="BF10" s="50">
        <f t="shared" si="12"/>
        <v>78.180000000000007</v>
      </c>
      <c r="BG10" s="50">
        <f t="shared" si="12"/>
        <v>105.07899999999999</v>
      </c>
      <c r="BH10" s="50">
        <f t="shared" si="12"/>
        <v>109.32</v>
      </c>
      <c r="BI10" s="50">
        <f t="shared" si="12"/>
        <v>100.827</v>
      </c>
      <c r="BJ10" s="50">
        <f t="shared" si="12"/>
        <v>102.71</v>
      </c>
      <c r="BL10" s="50">
        <f>elechap2b!AF10</f>
        <v>102.7</v>
      </c>
      <c r="BM10" s="50">
        <f t="shared" si="4"/>
        <v>326</v>
      </c>
    </row>
    <row r="11" spans="1:65" x14ac:dyDescent="0.25">
      <c r="A11" s="50">
        <f t="shared" si="5"/>
        <v>10</v>
      </c>
      <c r="B11" s="50">
        <v>400</v>
      </c>
      <c r="C11" s="50">
        <v>12.201000000000001</v>
      </c>
      <c r="D11" s="50">
        <v>13.724</v>
      </c>
      <c r="E11" s="50">
        <v>14.67</v>
      </c>
      <c r="F11" s="50">
        <v>15.901999999999999</v>
      </c>
      <c r="G11" s="50">
        <v>17.216999999999999</v>
      </c>
      <c r="H11" s="50">
        <v>18.561</v>
      </c>
      <c r="I11" s="50">
        <v>19.939</v>
      </c>
      <c r="J11" s="50">
        <v>20.542000000000002</v>
      </c>
      <c r="K11" s="50">
        <v>21.73</v>
      </c>
      <c r="L11" s="50">
        <v>27.184999999999999</v>
      </c>
      <c r="M11" s="50">
        <v>30.423999999999999</v>
      </c>
      <c r="N11" s="50">
        <v>33.26</v>
      </c>
      <c r="O11" s="50">
        <v>36.853000000000002</v>
      </c>
      <c r="P11" s="50">
        <v>38.485999999999997</v>
      </c>
      <c r="Q11" s="50">
        <v>41.015000000000001</v>
      </c>
      <c r="R11" s="50">
        <v>44.404000000000003</v>
      </c>
      <c r="S11" s="50">
        <v>46.802</v>
      </c>
      <c r="T11" s="50">
        <v>48.825000000000003</v>
      </c>
      <c r="U11" s="50">
        <v>51.694000000000003</v>
      </c>
      <c r="V11" s="50">
        <v>56.15</v>
      </c>
      <c r="W11" s="50">
        <v>66.144000000000005</v>
      </c>
      <c r="X11" s="50">
        <v>71.668000000000006</v>
      </c>
      <c r="Y11" s="50">
        <v>78.838999999999999</v>
      </c>
      <c r="Z11" s="50">
        <v>85.031999999999996</v>
      </c>
      <c r="AA11" s="50">
        <v>91.643000000000001</v>
      </c>
      <c r="AB11" s="50">
        <v>98.902000000000001</v>
      </c>
      <c r="AC11" s="50">
        <v>102.271</v>
      </c>
      <c r="AD11" s="50">
        <v>106.288</v>
      </c>
      <c r="AF11" s="50">
        <f>elechap2b!V11</f>
        <v>327</v>
      </c>
      <c r="AG11" s="50">
        <f>elechap2b!W11</f>
        <v>10</v>
      </c>
      <c r="AI11" s="50">
        <f>SUMIF($B$2:$B$132,"=327",C$2:C$132)</f>
        <v>41.47</v>
      </c>
      <c r="AJ11" s="50">
        <f t="shared" ref="AJ11:BJ11" si="13">SUMIF($B$2:$B$132,"=327",D$2:D$132)</f>
        <v>48.105999999999995</v>
      </c>
      <c r="AK11" s="50">
        <f t="shared" si="13"/>
        <v>49.463999999999999</v>
      </c>
      <c r="AL11" s="50">
        <f t="shared" si="13"/>
        <v>50.305999999999997</v>
      </c>
      <c r="AM11" s="50">
        <f t="shared" si="13"/>
        <v>53.408000000000001</v>
      </c>
      <c r="AN11" s="50">
        <f t="shared" si="13"/>
        <v>55.953000000000003</v>
      </c>
      <c r="AO11" s="50">
        <f t="shared" si="13"/>
        <v>60.704000000000001</v>
      </c>
      <c r="AP11" s="50">
        <f t="shared" si="13"/>
        <v>64.152999999999992</v>
      </c>
      <c r="AQ11" s="50">
        <f t="shared" si="13"/>
        <v>78.445999999999998</v>
      </c>
      <c r="AR11" s="50">
        <f t="shared" si="13"/>
        <v>67.265000000000001</v>
      </c>
      <c r="AS11" s="50">
        <f t="shared" si="13"/>
        <v>76.836000000000013</v>
      </c>
      <c r="AT11" s="50">
        <f t="shared" si="13"/>
        <v>80.985000000000014</v>
      </c>
      <c r="AU11" s="50">
        <f t="shared" si="13"/>
        <v>82.947000000000003</v>
      </c>
      <c r="AV11" s="50">
        <f t="shared" si="13"/>
        <v>85.207999999999998</v>
      </c>
      <c r="AW11" s="50">
        <f t="shared" si="13"/>
        <v>92.849000000000004</v>
      </c>
      <c r="AX11" s="50">
        <f t="shared" si="13"/>
        <v>97.75800000000001</v>
      </c>
      <c r="AY11" s="50">
        <f t="shared" si="13"/>
        <v>98.996000000000009</v>
      </c>
      <c r="AZ11" s="50">
        <f t="shared" si="13"/>
        <v>94.850999999999999</v>
      </c>
      <c r="BA11" s="50">
        <f t="shared" si="13"/>
        <v>99.754000000000005</v>
      </c>
      <c r="BB11" s="50">
        <f t="shared" si="13"/>
        <v>105.51599999999999</v>
      </c>
      <c r="BC11" s="50">
        <f t="shared" si="13"/>
        <v>111.75700000000001</v>
      </c>
      <c r="BD11" s="50">
        <f t="shared" si="13"/>
        <v>112.547</v>
      </c>
      <c r="BE11" s="50">
        <f t="shared" si="13"/>
        <v>104.08500000000001</v>
      </c>
      <c r="BF11" s="50">
        <f t="shared" si="13"/>
        <v>102.73099999999999</v>
      </c>
      <c r="BG11" s="50">
        <f t="shared" si="13"/>
        <v>95.10499999999999</v>
      </c>
      <c r="BH11" s="50">
        <f t="shared" si="13"/>
        <v>95.356999999999999</v>
      </c>
      <c r="BI11" s="50">
        <f t="shared" si="13"/>
        <v>102.50700000000001</v>
      </c>
      <c r="BJ11" s="50">
        <f t="shared" si="13"/>
        <v>112.471</v>
      </c>
      <c r="BL11" s="50">
        <f>elechap2b!AF11</f>
        <v>112.48</v>
      </c>
      <c r="BM11" s="50">
        <f t="shared" si="4"/>
        <v>327</v>
      </c>
    </row>
    <row r="12" spans="1:65" x14ac:dyDescent="0.25">
      <c r="A12" s="50">
        <f t="shared" si="5"/>
        <v>11</v>
      </c>
      <c r="B12" s="50">
        <v>400</v>
      </c>
      <c r="C12" s="50">
        <v>0.28000000000000003</v>
      </c>
      <c r="D12" s="50">
        <v>0.35099999999999998</v>
      </c>
      <c r="E12" s="50">
        <v>0.42099999999999999</v>
      </c>
      <c r="F12" s="50">
        <v>0.48799999999999999</v>
      </c>
      <c r="G12" s="50">
        <v>0.56499999999999995</v>
      </c>
      <c r="H12" s="50">
        <v>0.65200000000000002</v>
      </c>
      <c r="I12" s="50">
        <v>0.79</v>
      </c>
      <c r="J12" s="50">
        <v>0.93799999999999994</v>
      </c>
      <c r="K12" s="50">
        <v>1.1220000000000001</v>
      </c>
      <c r="L12" s="50">
        <v>1.3129999999999999</v>
      </c>
      <c r="M12" s="50">
        <v>1.389</v>
      </c>
      <c r="N12" s="50">
        <v>1.4850000000000001</v>
      </c>
      <c r="O12" s="50">
        <v>1.5509999999999999</v>
      </c>
      <c r="P12" s="50">
        <v>1.58</v>
      </c>
      <c r="Q12" s="50">
        <v>1.579</v>
      </c>
      <c r="R12" s="50">
        <v>1.752</v>
      </c>
      <c r="S12" s="50">
        <v>1.8360000000000001</v>
      </c>
      <c r="T12" s="50">
        <v>1.859</v>
      </c>
      <c r="U12" s="50">
        <v>1.996</v>
      </c>
      <c r="V12" s="50">
        <v>2.1520000000000001</v>
      </c>
      <c r="W12" s="50">
        <v>2.4540000000000002</v>
      </c>
      <c r="X12" s="50">
        <v>2.839</v>
      </c>
      <c r="Y12" s="50">
        <v>3.11</v>
      </c>
      <c r="Z12" s="50">
        <v>3.3860000000000001</v>
      </c>
      <c r="AA12" s="50">
        <v>3.399</v>
      </c>
      <c r="AB12" s="50">
        <v>3.3519999999999999</v>
      </c>
      <c r="AC12" s="50">
        <v>3.6429999999999998</v>
      </c>
      <c r="AD12" s="50">
        <v>3.734</v>
      </c>
      <c r="AF12" s="50">
        <f>elechap2b!V12</f>
        <v>331</v>
      </c>
      <c r="AG12" s="50">
        <f>elechap2b!W12</f>
        <v>11</v>
      </c>
      <c r="AI12" s="50">
        <f>SUMIF($B$2:$B$132,"=331",C$2:C$132)</f>
        <v>192.62699999999998</v>
      </c>
      <c r="AJ12" s="50">
        <f t="shared" ref="AJ12:BJ12" si="14">SUMIF($B$2:$B$132,"=331",D$2:D$132)</f>
        <v>231.36599999999999</v>
      </c>
      <c r="AK12" s="50">
        <f t="shared" si="14"/>
        <v>242.46099999999998</v>
      </c>
      <c r="AL12" s="50">
        <f t="shared" si="14"/>
        <v>244.15800000000002</v>
      </c>
      <c r="AM12" s="50">
        <f t="shared" si="14"/>
        <v>262.10500000000002</v>
      </c>
      <c r="AN12" s="50">
        <f t="shared" si="14"/>
        <v>277.971</v>
      </c>
      <c r="AO12" s="50">
        <f t="shared" si="14"/>
        <v>305.67099999999999</v>
      </c>
      <c r="AP12" s="50">
        <f t="shared" si="14"/>
        <v>337.01500000000004</v>
      </c>
      <c r="AQ12" s="50">
        <f t="shared" si="14"/>
        <v>365.66699999999997</v>
      </c>
      <c r="AR12" s="50">
        <f t="shared" si="14"/>
        <v>385.73900000000003</v>
      </c>
      <c r="AS12" s="50">
        <f t="shared" si="14"/>
        <v>397.92399999999998</v>
      </c>
      <c r="AT12" s="50">
        <f t="shared" si="14"/>
        <v>440.45900000000006</v>
      </c>
      <c r="AU12" s="50">
        <f t="shared" si="14"/>
        <v>438.10699999999997</v>
      </c>
      <c r="AV12" s="50">
        <f t="shared" si="14"/>
        <v>422.35500000000002</v>
      </c>
      <c r="AW12" s="50">
        <f t="shared" si="14"/>
        <v>451.74899999999997</v>
      </c>
      <c r="AX12" s="50">
        <f t="shared" si="14"/>
        <v>531.92399999999998</v>
      </c>
      <c r="AY12" s="50">
        <f t="shared" si="14"/>
        <v>578.28399999999999</v>
      </c>
      <c r="AZ12" s="50">
        <f t="shared" si="14"/>
        <v>490</v>
      </c>
      <c r="BA12" s="50">
        <f t="shared" si="14"/>
        <v>527.28300000000002</v>
      </c>
      <c r="BB12" s="50">
        <f t="shared" si="14"/>
        <v>561.72199999999998</v>
      </c>
      <c r="BC12" s="50">
        <f t="shared" si="14"/>
        <v>586.50800000000004</v>
      </c>
      <c r="BD12" s="50">
        <f t="shared" si="14"/>
        <v>610.57499999999993</v>
      </c>
      <c r="BE12" s="50">
        <f t="shared" si="14"/>
        <v>575.89199999999994</v>
      </c>
      <c r="BF12" s="50">
        <f t="shared" si="14"/>
        <v>581.00900000000001</v>
      </c>
      <c r="BG12" s="50">
        <f t="shared" si="14"/>
        <v>420.41399999999999</v>
      </c>
      <c r="BH12" s="50">
        <f t="shared" si="14"/>
        <v>410.464</v>
      </c>
      <c r="BI12" s="50">
        <f t="shared" si="14"/>
        <v>490.024</v>
      </c>
      <c r="BJ12" s="50">
        <f t="shared" si="14"/>
        <v>454.03100000000001</v>
      </c>
      <c r="BL12" s="50">
        <f>elechap2b!AF12</f>
        <v>454.03000000000003</v>
      </c>
      <c r="BM12" s="50">
        <f t="shared" si="4"/>
        <v>331</v>
      </c>
    </row>
    <row r="13" spans="1:65" x14ac:dyDescent="0.25">
      <c r="A13" s="50">
        <f t="shared" si="5"/>
        <v>12</v>
      </c>
      <c r="B13" s="50">
        <v>400</v>
      </c>
      <c r="C13" s="50">
        <v>1.488</v>
      </c>
      <c r="D13" s="50">
        <v>1.73</v>
      </c>
      <c r="E13" s="50">
        <v>1.9530000000000001</v>
      </c>
      <c r="F13" s="50">
        <v>2.15</v>
      </c>
      <c r="G13" s="50">
        <v>2.3809999999999998</v>
      </c>
      <c r="H13" s="50">
        <v>2.6440000000000001</v>
      </c>
      <c r="I13" s="50">
        <v>2.823</v>
      </c>
      <c r="J13" s="50">
        <v>3.008</v>
      </c>
      <c r="K13" s="50">
        <v>3.2719999999999998</v>
      </c>
      <c r="L13" s="50">
        <v>3.524</v>
      </c>
      <c r="M13" s="50">
        <v>3.7909999999999999</v>
      </c>
      <c r="N13" s="50">
        <v>4.1219999999999999</v>
      </c>
      <c r="O13" s="50">
        <v>4.3810000000000002</v>
      </c>
      <c r="P13" s="50">
        <v>4.5369999999999999</v>
      </c>
      <c r="Q13" s="50">
        <v>4.6120000000000001</v>
      </c>
      <c r="R13" s="50">
        <v>5.3520000000000003</v>
      </c>
      <c r="S13" s="50">
        <v>5.81</v>
      </c>
      <c r="T13" s="50">
        <v>6.0519999999999996</v>
      </c>
      <c r="U13" s="50">
        <v>6.657</v>
      </c>
      <c r="V13" s="50">
        <v>7.319</v>
      </c>
      <c r="W13" s="50">
        <v>8.2959999999999994</v>
      </c>
      <c r="X13" s="50">
        <v>9.5470000000000006</v>
      </c>
      <c r="Y13" s="50">
        <v>10.417</v>
      </c>
      <c r="Z13" s="50">
        <v>11.305999999999999</v>
      </c>
      <c r="AA13" s="50">
        <v>11.317</v>
      </c>
      <c r="AB13" s="50">
        <v>11.137</v>
      </c>
      <c r="AC13" s="50">
        <v>12.08</v>
      </c>
      <c r="AD13" s="50">
        <v>12.361000000000001</v>
      </c>
      <c r="AF13" s="50">
        <f>elechap2b!V13</f>
        <v>332</v>
      </c>
      <c r="AG13" s="50">
        <f>elechap2b!W13</f>
        <v>12</v>
      </c>
      <c r="AI13" s="50">
        <f>SUMIF($B$2:$B$132,"=332",C$2:C$132)</f>
        <v>26.733999999999995</v>
      </c>
      <c r="AJ13" s="50">
        <f t="shared" ref="AJ13:BJ13" si="15">SUMIF($B$2:$B$132,"=332",D$2:D$132)</f>
        <v>30.388999999999999</v>
      </c>
      <c r="AK13" s="50">
        <f t="shared" si="15"/>
        <v>31.127000000000002</v>
      </c>
      <c r="AL13" s="50">
        <f t="shared" si="15"/>
        <v>31.695</v>
      </c>
      <c r="AM13" s="50">
        <f t="shared" si="15"/>
        <v>34.379000000000005</v>
      </c>
      <c r="AN13" s="50">
        <f t="shared" si="15"/>
        <v>35.991999999999997</v>
      </c>
      <c r="AO13" s="50">
        <f t="shared" si="15"/>
        <v>39.814</v>
      </c>
      <c r="AP13" s="50">
        <f t="shared" si="15"/>
        <v>43.674000000000007</v>
      </c>
      <c r="AQ13" s="50">
        <f t="shared" si="15"/>
        <v>50.058000000000007</v>
      </c>
      <c r="AR13" s="50">
        <f t="shared" si="15"/>
        <v>62.183</v>
      </c>
      <c r="AS13" s="50">
        <f t="shared" si="15"/>
        <v>71.168000000000006</v>
      </c>
      <c r="AT13" s="50">
        <f t="shared" si="15"/>
        <v>76.87299999999999</v>
      </c>
      <c r="AU13" s="50">
        <f t="shared" si="15"/>
        <v>81.025999999999996</v>
      </c>
      <c r="AV13" s="50">
        <f t="shared" si="15"/>
        <v>78.26400000000001</v>
      </c>
      <c r="AW13" s="50">
        <f t="shared" si="15"/>
        <v>82.197000000000003</v>
      </c>
      <c r="AX13" s="50">
        <f t="shared" si="15"/>
        <v>87.38900000000001</v>
      </c>
      <c r="AY13" s="50">
        <f t="shared" si="15"/>
        <v>85.45</v>
      </c>
      <c r="AZ13" s="50">
        <f t="shared" si="15"/>
        <v>83.230999999999995</v>
      </c>
      <c r="BA13" s="50">
        <f t="shared" si="15"/>
        <v>87.807000000000002</v>
      </c>
      <c r="BB13" s="50">
        <f t="shared" si="15"/>
        <v>89.830000000000013</v>
      </c>
      <c r="BC13" s="50">
        <f t="shared" si="15"/>
        <v>89.97</v>
      </c>
      <c r="BD13" s="50">
        <f t="shared" si="15"/>
        <v>89.721000000000004</v>
      </c>
      <c r="BE13" s="50">
        <f t="shared" si="15"/>
        <v>86.391000000000005</v>
      </c>
      <c r="BF13" s="50">
        <f t="shared" si="15"/>
        <v>87.13900000000001</v>
      </c>
      <c r="BG13" s="50">
        <f t="shared" si="15"/>
        <v>87.114000000000004</v>
      </c>
      <c r="BH13" s="50">
        <f t="shared" si="15"/>
        <v>84.733000000000004</v>
      </c>
      <c r="BI13" s="50">
        <f t="shared" si="15"/>
        <v>103.63499999999999</v>
      </c>
      <c r="BJ13" s="50">
        <f t="shared" si="15"/>
        <v>95.448999999999998</v>
      </c>
      <c r="BL13" s="50">
        <f>elechap2b!AF13</f>
        <v>95.451999999999998</v>
      </c>
      <c r="BM13" s="50">
        <f t="shared" si="4"/>
        <v>332</v>
      </c>
    </row>
    <row r="14" spans="1:65" x14ac:dyDescent="0.25">
      <c r="A14" s="50">
        <f t="shared" si="5"/>
        <v>13</v>
      </c>
      <c r="B14" s="50">
        <v>400</v>
      </c>
      <c r="C14" s="50">
        <v>7.7279999999999998</v>
      </c>
      <c r="D14" s="50">
        <v>8.6159999999999997</v>
      </c>
      <c r="E14" s="50">
        <v>8.9290000000000003</v>
      </c>
      <c r="F14" s="50">
        <v>9.3070000000000004</v>
      </c>
      <c r="G14" s="50">
        <v>9.8930000000000007</v>
      </c>
      <c r="H14" s="50">
        <v>10.625</v>
      </c>
      <c r="I14" s="50">
        <v>11.557</v>
      </c>
      <c r="J14" s="50">
        <v>12.548999999999999</v>
      </c>
      <c r="K14" s="50">
        <v>13.372</v>
      </c>
      <c r="L14" s="50">
        <v>13.271000000000001</v>
      </c>
      <c r="M14" s="50">
        <v>14.346</v>
      </c>
      <c r="N14" s="50">
        <v>15.228999999999999</v>
      </c>
      <c r="O14" s="50">
        <v>16.119</v>
      </c>
      <c r="P14" s="50">
        <v>16.757000000000001</v>
      </c>
      <c r="Q14" s="50">
        <v>17.925000000000001</v>
      </c>
      <c r="R14" s="50">
        <v>20.408999999999999</v>
      </c>
      <c r="S14" s="50">
        <v>19.940999999999999</v>
      </c>
      <c r="T14" s="50">
        <v>17.489000000000001</v>
      </c>
      <c r="U14" s="50">
        <v>18.866</v>
      </c>
      <c r="V14" s="50">
        <v>20.234000000000002</v>
      </c>
      <c r="W14" s="50">
        <v>23.465</v>
      </c>
      <c r="X14" s="50">
        <v>25.234999999999999</v>
      </c>
      <c r="Y14" s="50">
        <v>23.076000000000001</v>
      </c>
      <c r="Z14" s="50">
        <v>21.920999999999999</v>
      </c>
      <c r="AA14" s="50">
        <v>20.27</v>
      </c>
      <c r="AB14" s="50">
        <v>23.465</v>
      </c>
      <c r="AC14" s="50">
        <v>22.902000000000001</v>
      </c>
      <c r="AD14" s="50">
        <v>25.501999999999999</v>
      </c>
      <c r="AF14" s="50">
        <f>elechap2b!V14</f>
        <v>333</v>
      </c>
      <c r="AG14" s="50">
        <f>elechap2b!W14</f>
        <v>13</v>
      </c>
      <c r="AI14" s="50">
        <f>SUMIF($B$2:$B$132,"=333",C$2:C$132)</f>
        <v>26.12</v>
      </c>
      <c r="AJ14" s="50">
        <f t="shared" ref="AJ14:BJ14" si="16">SUMIF($B$2:$B$132,"=333",D$2:D$132)</f>
        <v>30.842000000000002</v>
      </c>
      <c r="AK14" s="50">
        <f t="shared" si="16"/>
        <v>31.282</v>
      </c>
      <c r="AL14" s="50">
        <f t="shared" si="16"/>
        <v>31.108000000000001</v>
      </c>
      <c r="AM14" s="50">
        <f t="shared" si="16"/>
        <v>34.480999999999995</v>
      </c>
      <c r="AN14" s="50">
        <f t="shared" si="16"/>
        <v>36.982999999999997</v>
      </c>
      <c r="AO14" s="50">
        <f t="shared" si="16"/>
        <v>41.399000000000001</v>
      </c>
      <c r="AP14" s="50">
        <f t="shared" si="16"/>
        <v>46.098999999999997</v>
      </c>
      <c r="AQ14" s="50">
        <f t="shared" si="16"/>
        <v>51.927</v>
      </c>
      <c r="AR14" s="50">
        <f t="shared" si="16"/>
        <v>55.966000000000001</v>
      </c>
      <c r="AS14" s="50">
        <f t="shared" si="16"/>
        <v>60.936</v>
      </c>
      <c r="AT14" s="50">
        <f t="shared" si="16"/>
        <v>66.39500000000001</v>
      </c>
      <c r="AU14" s="50">
        <f t="shared" si="16"/>
        <v>70.444999999999993</v>
      </c>
      <c r="AV14" s="50">
        <f t="shared" si="16"/>
        <v>72.704000000000008</v>
      </c>
      <c r="AW14" s="50">
        <f t="shared" si="16"/>
        <v>78.063999999999993</v>
      </c>
      <c r="AX14" s="50">
        <f t="shared" si="16"/>
        <v>85.834999999999994</v>
      </c>
      <c r="AY14" s="50">
        <f t="shared" si="16"/>
        <v>84.206000000000017</v>
      </c>
      <c r="AZ14" s="50">
        <f t="shared" si="16"/>
        <v>88.721000000000004</v>
      </c>
      <c r="BA14" s="50">
        <f t="shared" si="16"/>
        <v>91.431999999999988</v>
      </c>
      <c r="BB14" s="50">
        <f t="shared" si="16"/>
        <v>93.820000000000022</v>
      </c>
      <c r="BC14" s="50">
        <f t="shared" si="16"/>
        <v>98.093999999999994</v>
      </c>
      <c r="BD14" s="50">
        <f t="shared" si="16"/>
        <v>98.285000000000011</v>
      </c>
      <c r="BE14" s="50">
        <f t="shared" si="16"/>
        <v>97.370000000000019</v>
      </c>
      <c r="BF14" s="50">
        <f t="shared" si="16"/>
        <v>99.63900000000001</v>
      </c>
      <c r="BG14" s="50">
        <f t="shared" si="16"/>
        <v>94.296999999999983</v>
      </c>
      <c r="BH14" s="50">
        <f t="shared" si="16"/>
        <v>87.561999999999998</v>
      </c>
      <c r="BI14" s="50">
        <f t="shared" si="16"/>
        <v>94.376999999999995</v>
      </c>
      <c r="BJ14" s="50">
        <f t="shared" si="16"/>
        <v>91.40900000000002</v>
      </c>
      <c r="BL14" s="50">
        <f>elechap2b!AF14</f>
        <v>91.414999999999992</v>
      </c>
      <c r="BM14" s="50">
        <f t="shared" si="4"/>
        <v>333</v>
      </c>
    </row>
    <row r="15" spans="1:65" x14ac:dyDescent="0.25">
      <c r="A15" s="50">
        <f t="shared" si="5"/>
        <v>14</v>
      </c>
      <c r="B15" s="50">
        <v>400</v>
      </c>
      <c r="C15" s="50">
        <v>3.62</v>
      </c>
      <c r="D15" s="50">
        <v>4.24</v>
      </c>
      <c r="E15" s="50">
        <v>4.556</v>
      </c>
      <c r="F15" s="50">
        <v>4.8330000000000002</v>
      </c>
      <c r="G15" s="50">
        <v>5.0919999999999996</v>
      </c>
      <c r="H15" s="50">
        <v>5.5890000000000004</v>
      </c>
      <c r="I15" s="50">
        <v>6.5960000000000001</v>
      </c>
      <c r="J15" s="50">
        <v>7.843</v>
      </c>
      <c r="K15" s="50">
        <v>9.18</v>
      </c>
      <c r="L15" s="50">
        <v>9.7729999999999997</v>
      </c>
      <c r="M15" s="50">
        <v>9.3960000000000008</v>
      </c>
      <c r="N15" s="50">
        <v>9.3469999999999995</v>
      </c>
      <c r="O15" s="50">
        <v>9.4949999999999992</v>
      </c>
      <c r="P15" s="50">
        <v>9.4380000000000006</v>
      </c>
      <c r="Q15" s="50">
        <v>10.036</v>
      </c>
      <c r="R15" s="50">
        <v>10.726000000000001</v>
      </c>
      <c r="S15" s="50">
        <v>11.612</v>
      </c>
      <c r="T15" s="50">
        <v>11.711</v>
      </c>
      <c r="U15" s="50">
        <v>12.583</v>
      </c>
      <c r="V15" s="50">
        <v>13.755000000000001</v>
      </c>
      <c r="W15" s="50">
        <v>14.68</v>
      </c>
      <c r="X15" s="50">
        <v>16.84</v>
      </c>
      <c r="Y15" s="50">
        <v>17.257999999999999</v>
      </c>
      <c r="Z15" s="50">
        <v>16.623999999999999</v>
      </c>
      <c r="AA15" s="50">
        <v>13.41</v>
      </c>
      <c r="AB15" s="50">
        <v>14.53</v>
      </c>
      <c r="AC15" s="50">
        <v>15.234999999999999</v>
      </c>
      <c r="AD15" s="50">
        <v>13.965999999999999</v>
      </c>
      <c r="AF15" s="50">
        <f>elechap2b!V15</f>
        <v>334</v>
      </c>
      <c r="AG15" s="50">
        <f>elechap2b!W15</f>
        <v>14</v>
      </c>
      <c r="AI15" s="50">
        <f>SUMIF($B$2:$B$132,"=334",C$2:C$132)</f>
        <v>12.484000000000002</v>
      </c>
      <c r="AJ15" s="50">
        <f t="shared" ref="AJ15:BJ15" si="17">SUMIF($B$2:$B$132,"=334",D$2:D$132)</f>
        <v>15.706999999999999</v>
      </c>
      <c r="AK15" s="50">
        <f t="shared" si="17"/>
        <v>17.863999999999997</v>
      </c>
      <c r="AL15" s="50">
        <f t="shared" si="17"/>
        <v>19.885999999999999</v>
      </c>
      <c r="AM15" s="50">
        <f t="shared" si="17"/>
        <v>23.574999999999999</v>
      </c>
      <c r="AN15" s="50">
        <f t="shared" si="17"/>
        <v>24.658999999999999</v>
      </c>
      <c r="AO15" s="50">
        <f t="shared" si="17"/>
        <v>26.9</v>
      </c>
      <c r="AP15" s="50">
        <f t="shared" si="17"/>
        <v>32.017000000000003</v>
      </c>
      <c r="AQ15" s="50">
        <f t="shared" si="17"/>
        <v>39.178000000000004</v>
      </c>
      <c r="AR15" s="50">
        <f t="shared" si="17"/>
        <v>40.709000000000003</v>
      </c>
      <c r="AS15" s="50">
        <f t="shared" si="17"/>
        <v>46.564</v>
      </c>
      <c r="AT15" s="50">
        <f t="shared" si="17"/>
        <v>52.978999999999999</v>
      </c>
      <c r="AU15" s="50">
        <f t="shared" si="17"/>
        <v>54.903000000000006</v>
      </c>
      <c r="AV15" s="50">
        <f t="shared" si="17"/>
        <v>55.341000000000001</v>
      </c>
      <c r="AW15" s="50">
        <f t="shared" si="17"/>
        <v>59.051000000000002</v>
      </c>
      <c r="AX15" s="50">
        <f t="shared" si="17"/>
        <v>61.929000000000002</v>
      </c>
      <c r="AY15" s="50">
        <f t="shared" si="17"/>
        <v>58.358000000000004</v>
      </c>
      <c r="AZ15" s="50">
        <f t="shared" si="17"/>
        <v>59.557999999999993</v>
      </c>
      <c r="BA15" s="50">
        <f t="shared" si="17"/>
        <v>58.942999999999998</v>
      </c>
      <c r="BB15" s="50">
        <f t="shared" si="17"/>
        <v>61.381</v>
      </c>
      <c r="BC15" s="50">
        <f t="shared" si="17"/>
        <v>65.203000000000003</v>
      </c>
      <c r="BD15" s="50">
        <f t="shared" si="17"/>
        <v>69.849999999999994</v>
      </c>
      <c r="BE15" s="50">
        <f t="shared" si="17"/>
        <v>74.441000000000003</v>
      </c>
      <c r="BF15" s="50">
        <f t="shared" si="17"/>
        <v>79.381</v>
      </c>
      <c r="BG15" s="50">
        <f t="shared" si="17"/>
        <v>84.745000000000005</v>
      </c>
      <c r="BH15" s="50">
        <f t="shared" si="17"/>
        <v>88.852999999999994</v>
      </c>
      <c r="BI15" s="50">
        <f t="shared" si="17"/>
        <v>96.534000000000006</v>
      </c>
      <c r="BJ15" s="50">
        <f t="shared" si="17"/>
        <v>102.14400000000001</v>
      </c>
      <c r="BL15" s="50">
        <f>elechap2b!AF15</f>
        <v>102.14000000000001</v>
      </c>
      <c r="BM15" s="50">
        <f t="shared" si="4"/>
        <v>334</v>
      </c>
    </row>
    <row r="16" spans="1:65" x14ac:dyDescent="0.25">
      <c r="A16" s="50">
        <f t="shared" si="5"/>
        <v>15</v>
      </c>
      <c r="B16" s="50">
        <v>400</v>
      </c>
      <c r="C16" s="50">
        <v>1.8140000000000001</v>
      </c>
      <c r="D16" s="50">
        <v>1.915</v>
      </c>
      <c r="E16" s="50">
        <v>1.841</v>
      </c>
      <c r="F16" s="50">
        <v>1.9159999999999999</v>
      </c>
      <c r="G16" s="50">
        <v>2.06</v>
      </c>
      <c r="H16" s="50">
        <v>1.988</v>
      </c>
      <c r="I16" s="50">
        <v>2.0270000000000001</v>
      </c>
      <c r="J16" s="50">
        <v>1.9039999999999999</v>
      </c>
      <c r="K16" s="50">
        <v>1.712</v>
      </c>
      <c r="L16" s="50">
        <v>1.542</v>
      </c>
      <c r="M16" s="50">
        <v>1.51</v>
      </c>
      <c r="N16" s="50">
        <v>1.542</v>
      </c>
      <c r="O16" s="50">
        <v>1.4039999999999999</v>
      </c>
      <c r="P16" s="50">
        <v>1.26</v>
      </c>
      <c r="Q16" s="50">
        <v>1.331</v>
      </c>
      <c r="R16" s="50">
        <v>1.5029999999999999</v>
      </c>
      <c r="S16" s="50">
        <v>1.8779999999999999</v>
      </c>
      <c r="T16" s="50">
        <v>2.3319999999999999</v>
      </c>
      <c r="U16" s="50">
        <v>2.6360000000000001</v>
      </c>
      <c r="V16" s="50">
        <v>3.2090000000000001</v>
      </c>
      <c r="W16" s="50">
        <v>4.4349999999999996</v>
      </c>
      <c r="X16" s="50">
        <v>5.5510000000000002</v>
      </c>
      <c r="Y16" s="50">
        <v>8.1649999999999991</v>
      </c>
      <c r="Z16" s="50">
        <v>12.17</v>
      </c>
      <c r="AA16" s="50">
        <v>12.565</v>
      </c>
      <c r="AB16" s="50">
        <v>12.388</v>
      </c>
      <c r="AC16" s="50">
        <v>16.158000000000001</v>
      </c>
      <c r="AD16" s="50">
        <v>15.741</v>
      </c>
      <c r="AF16" s="50">
        <f>elechap2b!V16</f>
        <v>335</v>
      </c>
      <c r="AG16" s="50">
        <f>elechap2b!W16</f>
        <v>15</v>
      </c>
      <c r="AI16" s="50">
        <f>SUMIF($B$2:$B$132,"=335",C$2:C$132)</f>
        <v>18.082000000000001</v>
      </c>
      <c r="AJ16" s="50">
        <f t="shared" ref="AJ16:BJ16" si="18">SUMIF($B$2:$B$132,"=335",D$2:D$132)</f>
        <v>22.317999999999998</v>
      </c>
      <c r="AK16" s="50">
        <f t="shared" si="18"/>
        <v>21.744</v>
      </c>
      <c r="AL16" s="50">
        <f t="shared" si="18"/>
        <v>20.861999999999998</v>
      </c>
      <c r="AM16" s="50">
        <f t="shared" si="18"/>
        <v>23.422000000000001</v>
      </c>
      <c r="AN16" s="50">
        <f t="shared" si="18"/>
        <v>24.305999999999997</v>
      </c>
      <c r="AO16" s="50">
        <f t="shared" si="18"/>
        <v>26.587000000000003</v>
      </c>
      <c r="AP16" s="50">
        <f t="shared" si="18"/>
        <v>29.684999999999999</v>
      </c>
      <c r="AQ16" s="50">
        <f t="shared" si="18"/>
        <v>33.131</v>
      </c>
      <c r="AR16" s="50">
        <f t="shared" si="18"/>
        <v>33.830999999999996</v>
      </c>
      <c r="AS16" s="50">
        <f t="shared" si="18"/>
        <v>36.848999999999997</v>
      </c>
      <c r="AT16" s="50">
        <f t="shared" si="18"/>
        <v>40.017999999999994</v>
      </c>
      <c r="AU16" s="50">
        <f t="shared" si="18"/>
        <v>41.742000000000004</v>
      </c>
      <c r="AV16" s="50">
        <f t="shared" si="18"/>
        <v>41.059000000000005</v>
      </c>
      <c r="AW16" s="50">
        <f t="shared" si="18"/>
        <v>43.981999999999999</v>
      </c>
      <c r="AX16" s="50">
        <f t="shared" si="18"/>
        <v>47.395000000000003</v>
      </c>
      <c r="AY16" s="50">
        <f t="shared" si="18"/>
        <v>45.849000000000004</v>
      </c>
      <c r="AZ16" s="50">
        <f t="shared" si="18"/>
        <v>42.866</v>
      </c>
      <c r="BA16" s="50">
        <f t="shared" si="18"/>
        <v>43.198999999999998</v>
      </c>
      <c r="BB16" s="50">
        <f t="shared" si="18"/>
        <v>46.016999999999996</v>
      </c>
      <c r="BC16" s="50">
        <f t="shared" si="18"/>
        <v>47.624000000000002</v>
      </c>
      <c r="BD16" s="50">
        <f t="shared" si="18"/>
        <v>48.644999999999996</v>
      </c>
      <c r="BE16" s="50">
        <f t="shared" si="18"/>
        <v>45.695</v>
      </c>
      <c r="BF16" s="50">
        <f t="shared" si="18"/>
        <v>45.230000000000004</v>
      </c>
      <c r="BG16" s="50">
        <f t="shared" si="18"/>
        <v>45.438999999999993</v>
      </c>
      <c r="BH16" s="50">
        <f t="shared" si="18"/>
        <v>45.958999999999996</v>
      </c>
      <c r="BI16" s="50">
        <f t="shared" si="18"/>
        <v>49.015000000000001</v>
      </c>
      <c r="BJ16" s="50">
        <f t="shared" si="18"/>
        <v>46.961999999999996</v>
      </c>
      <c r="BL16" s="50">
        <f>elechap2b!AF16</f>
        <v>46.959999999999994</v>
      </c>
      <c r="BM16" s="50">
        <f t="shared" si="4"/>
        <v>335</v>
      </c>
    </row>
    <row r="17" spans="1:65" x14ac:dyDescent="0.25">
      <c r="A17" s="50">
        <f t="shared" si="5"/>
        <v>16</v>
      </c>
      <c r="B17" s="50">
        <v>400</v>
      </c>
      <c r="C17" s="50">
        <v>16.808</v>
      </c>
      <c r="D17" s="50">
        <v>18.274999999999999</v>
      </c>
      <c r="E17" s="50">
        <v>19.193999999999999</v>
      </c>
      <c r="F17" s="50">
        <v>20.006</v>
      </c>
      <c r="G17" s="50">
        <v>21.565000000000001</v>
      </c>
      <c r="H17" s="50">
        <v>23.032</v>
      </c>
      <c r="I17" s="50">
        <v>24.175999999999998</v>
      </c>
      <c r="J17" s="50">
        <v>26.056000000000001</v>
      </c>
      <c r="K17" s="50">
        <v>26.286000000000001</v>
      </c>
      <c r="L17" s="50">
        <v>26.609000000000002</v>
      </c>
      <c r="M17" s="50">
        <v>27.558</v>
      </c>
      <c r="N17" s="50">
        <v>27.920999999999999</v>
      </c>
      <c r="O17" s="50">
        <v>27.43</v>
      </c>
      <c r="P17" s="50">
        <v>29.091999999999999</v>
      </c>
      <c r="Q17" s="50">
        <v>30.57</v>
      </c>
      <c r="R17" s="50">
        <v>32.607999999999997</v>
      </c>
      <c r="S17" s="50">
        <v>34.584000000000003</v>
      </c>
      <c r="T17" s="50">
        <v>34.04</v>
      </c>
      <c r="U17" s="50">
        <v>34.536000000000001</v>
      </c>
      <c r="V17" s="50">
        <v>35.36</v>
      </c>
      <c r="W17" s="50">
        <v>39.57</v>
      </c>
      <c r="X17" s="50">
        <v>40.140999999999998</v>
      </c>
      <c r="Y17" s="50">
        <v>36.659999999999997</v>
      </c>
      <c r="Z17" s="50">
        <v>36.454999999999998</v>
      </c>
      <c r="AA17" s="50">
        <v>35.292000000000002</v>
      </c>
      <c r="AB17" s="50">
        <v>40.707999999999998</v>
      </c>
      <c r="AC17" s="50">
        <v>48</v>
      </c>
      <c r="AD17" s="50">
        <v>51.38</v>
      </c>
      <c r="AF17" s="50">
        <f>elechap2b!V17</f>
        <v>336</v>
      </c>
      <c r="AG17" s="50">
        <f>elechap2b!W17</f>
        <v>16</v>
      </c>
      <c r="AI17" s="50">
        <f>SUMIF($B$2:$B$132,"=336",C$2:C$132)</f>
        <v>47.887</v>
      </c>
      <c r="AJ17" s="50">
        <f t="shared" ref="AJ17:BJ17" si="19">SUMIF($B$2:$B$132,"=336",D$2:D$132)</f>
        <v>54.305999999999997</v>
      </c>
      <c r="AK17" s="50">
        <f t="shared" si="19"/>
        <v>56.751999999999995</v>
      </c>
      <c r="AL17" s="50">
        <f t="shared" si="19"/>
        <v>55.548000000000002</v>
      </c>
      <c r="AM17" s="50">
        <f t="shared" si="19"/>
        <v>62.644000000000005</v>
      </c>
      <c r="AN17" s="50">
        <f t="shared" si="19"/>
        <v>66.563000000000002</v>
      </c>
      <c r="AO17" s="50">
        <f t="shared" si="19"/>
        <v>68.695000000000007</v>
      </c>
      <c r="AP17" s="50">
        <f t="shared" si="19"/>
        <v>77.077999999999989</v>
      </c>
      <c r="AQ17" s="50">
        <f t="shared" si="19"/>
        <v>76.986999999999995</v>
      </c>
      <c r="AR17" s="50">
        <f t="shared" si="19"/>
        <v>85.119</v>
      </c>
      <c r="AS17" s="50">
        <f t="shared" si="19"/>
        <v>99.058000000000007</v>
      </c>
      <c r="AT17" s="50">
        <f t="shared" si="19"/>
        <v>100.86600000000001</v>
      </c>
      <c r="AU17" s="50">
        <f t="shared" si="19"/>
        <v>94.828000000000003</v>
      </c>
      <c r="AV17" s="50">
        <f t="shared" si="19"/>
        <v>99.453000000000003</v>
      </c>
      <c r="AW17" s="50">
        <f t="shared" si="19"/>
        <v>102.69500000000001</v>
      </c>
      <c r="AX17" s="50">
        <f t="shared" si="19"/>
        <v>110.53400000000001</v>
      </c>
      <c r="AY17" s="50">
        <f t="shared" si="19"/>
        <v>97.158000000000001</v>
      </c>
      <c r="AZ17" s="50">
        <f t="shared" si="19"/>
        <v>94.734999999999985</v>
      </c>
      <c r="BA17" s="50">
        <f t="shared" si="19"/>
        <v>101.16199999999999</v>
      </c>
      <c r="BB17" s="50">
        <f t="shared" si="19"/>
        <v>106.03100000000001</v>
      </c>
      <c r="BC17" s="50">
        <f t="shared" si="19"/>
        <v>108.398</v>
      </c>
      <c r="BD17" s="50">
        <f t="shared" si="19"/>
        <v>109.09099999999999</v>
      </c>
      <c r="BE17" s="50">
        <f t="shared" si="19"/>
        <v>102.25</v>
      </c>
      <c r="BF17" s="50">
        <f t="shared" si="19"/>
        <v>102.67</v>
      </c>
      <c r="BG17" s="50">
        <f t="shared" si="19"/>
        <v>98.322999999999993</v>
      </c>
      <c r="BH17" s="50">
        <f t="shared" si="19"/>
        <v>103.94</v>
      </c>
      <c r="BI17" s="50">
        <f t="shared" si="19"/>
        <v>114.241</v>
      </c>
      <c r="BJ17" s="50">
        <f t="shared" si="19"/>
        <v>117.83800000000001</v>
      </c>
      <c r="BL17" s="50">
        <f>elechap2b!AF17</f>
        <v>117.84</v>
      </c>
      <c r="BM17" s="50">
        <f t="shared" si="4"/>
        <v>336</v>
      </c>
    </row>
    <row r="18" spans="1:65" x14ac:dyDescent="0.25">
      <c r="A18" s="50">
        <f t="shared" si="5"/>
        <v>17</v>
      </c>
      <c r="B18" s="50">
        <v>400</v>
      </c>
      <c r="C18" s="50">
        <v>2.7360000000000002</v>
      </c>
      <c r="D18" s="50">
        <v>2.9750000000000001</v>
      </c>
      <c r="E18" s="50">
        <v>3.387</v>
      </c>
      <c r="F18" s="50">
        <v>3.53</v>
      </c>
      <c r="G18" s="50">
        <v>3.51</v>
      </c>
      <c r="H18" s="50">
        <v>3.7490000000000001</v>
      </c>
      <c r="I18" s="50">
        <v>3.9359999999999999</v>
      </c>
      <c r="J18" s="50">
        <v>3.5529999999999999</v>
      </c>
      <c r="K18" s="50">
        <v>4.2789999999999999</v>
      </c>
      <c r="L18" s="50">
        <v>4.3319999999999999</v>
      </c>
      <c r="M18" s="50">
        <v>3.758</v>
      </c>
      <c r="N18" s="50">
        <v>3.8069999999999999</v>
      </c>
      <c r="O18" s="50">
        <v>4.4649999999999999</v>
      </c>
      <c r="P18" s="50">
        <v>3.9670000000000001</v>
      </c>
      <c r="Q18" s="50">
        <v>3.778</v>
      </c>
      <c r="R18" s="50">
        <v>4.03</v>
      </c>
      <c r="S18" s="50">
        <v>4.7160000000000002</v>
      </c>
      <c r="T18" s="50">
        <v>6.0069999999999997</v>
      </c>
      <c r="U18" s="50">
        <v>6.0949999999999998</v>
      </c>
      <c r="V18" s="50">
        <v>6.24</v>
      </c>
      <c r="W18" s="50">
        <v>6.8540000000000001</v>
      </c>
      <c r="X18" s="50">
        <v>7.6920000000000002</v>
      </c>
      <c r="Y18" s="50">
        <v>8.1709999999999994</v>
      </c>
      <c r="Z18" s="50">
        <v>8.0559999999999992</v>
      </c>
      <c r="AA18" s="50">
        <v>7.2279999999999998</v>
      </c>
      <c r="AB18" s="50">
        <v>8.2949999999999999</v>
      </c>
      <c r="AC18" s="50">
        <v>9.1649999999999991</v>
      </c>
      <c r="AD18" s="50">
        <v>10.823</v>
      </c>
      <c r="AF18" s="50">
        <f>elechap2b!V18</f>
        <v>337</v>
      </c>
      <c r="AG18" s="50">
        <f>elechap2b!W18</f>
        <v>17</v>
      </c>
      <c r="AI18" s="50">
        <f>SUMIF($B$2:$B$132,"=337",C$2:C$132)</f>
        <v>4.4219999999999997</v>
      </c>
      <c r="AJ18" s="50">
        <f t="shared" ref="AJ18:BJ18" si="20">SUMIF($B$2:$B$132,"=337",D$2:D$132)</f>
        <v>4.9470000000000001</v>
      </c>
      <c r="AK18" s="50">
        <f t="shared" si="20"/>
        <v>5.0129999999999999</v>
      </c>
      <c r="AL18" s="50">
        <f t="shared" si="20"/>
        <v>4.9989999999999997</v>
      </c>
      <c r="AM18" s="50">
        <f t="shared" si="20"/>
        <v>5.3159999999999998</v>
      </c>
      <c r="AN18" s="50">
        <f t="shared" si="20"/>
        <v>5.5779999999999994</v>
      </c>
      <c r="AO18" s="50">
        <f t="shared" si="20"/>
        <v>6.38</v>
      </c>
      <c r="AP18" s="50">
        <f t="shared" si="20"/>
        <v>6.7789999999999999</v>
      </c>
      <c r="AQ18" s="50">
        <f t="shared" si="20"/>
        <v>7.141</v>
      </c>
      <c r="AR18" s="50">
        <f t="shared" si="20"/>
        <v>7.8449999999999998</v>
      </c>
      <c r="AS18" s="50">
        <f t="shared" si="20"/>
        <v>9.0309999999999988</v>
      </c>
      <c r="AT18" s="50">
        <f t="shared" si="20"/>
        <v>10.843</v>
      </c>
      <c r="AU18" s="50">
        <f t="shared" si="20"/>
        <v>11.567</v>
      </c>
      <c r="AV18" s="50">
        <f t="shared" si="20"/>
        <v>11.478</v>
      </c>
      <c r="AW18" s="50">
        <f t="shared" si="20"/>
        <v>11.827000000000002</v>
      </c>
      <c r="AX18" s="50">
        <f t="shared" si="20"/>
        <v>12.976000000000001</v>
      </c>
      <c r="AY18" s="50">
        <f t="shared" si="20"/>
        <v>13.696</v>
      </c>
      <c r="AZ18" s="50">
        <f t="shared" si="20"/>
        <v>13.256</v>
      </c>
      <c r="BA18" s="50">
        <f t="shared" si="20"/>
        <v>13.541999999999998</v>
      </c>
      <c r="BB18" s="50">
        <f t="shared" si="20"/>
        <v>14.297000000000001</v>
      </c>
      <c r="BC18" s="50">
        <f t="shared" si="20"/>
        <v>14.518000000000001</v>
      </c>
      <c r="BD18" s="50">
        <f t="shared" si="20"/>
        <v>13.760000000000002</v>
      </c>
      <c r="BE18" s="50">
        <f t="shared" si="20"/>
        <v>13.483000000000001</v>
      </c>
      <c r="BF18" s="50">
        <f t="shared" si="20"/>
        <v>14.137</v>
      </c>
      <c r="BG18" s="50">
        <f t="shared" si="20"/>
        <v>13.647</v>
      </c>
      <c r="BH18" s="50">
        <f t="shared" si="20"/>
        <v>14.561</v>
      </c>
      <c r="BI18" s="50">
        <f t="shared" si="20"/>
        <v>15.513999999999999</v>
      </c>
      <c r="BJ18" s="50">
        <f t="shared" si="20"/>
        <v>15.267999999999999</v>
      </c>
      <c r="BL18" s="50">
        <f>elechap2b!AF18</f>
        <v>15.267999999999999</v>
      </c>
      <c r="BM18" s="50">
        <f t="shared" si="4"/>
        <v>337</v>
      </c>
    </row>
    <row r="19" spans="1:65" x14ac:dyDescent="0.25">
      <c r="A19" s="50">
        <f t="shared" si="5"/>
        <v>18</v>
      </c>
      <c r="B19" s="50">
        <v>332</v>
      </c>
      <c r="C19" s="50">
        <v>0.89500000000000002</v>
      </c>
      <c r="D19" s="50">
        <v>1.208</v>
      </c>
      <c r="E19" s="50">
        <v>1.3520000000000001</v>
      </c>
      <c r="F19" s="50">
        <v>1.524</v>
      </c>
      <c r="G19" s="50">
        <v>1.6459999999999999</v>
      </c>
      <c r="H19" s="50">
        <v>1.839</v>
      </c>
      <c r="I19" s="50">
        <v>1.9059999999999999</v>
      </c>
      <c r="J19" s="50">
        <v>2.2890000000000001</v>
      </c>
      <c r="K19" s="50">
        <v>4.3049999999999997</v>
      </c>
      <c r="L19" s="50">
        <v>8.0429999999999993</v>
      </c>
      <c r="M19" s="50">
        <v>11.14</v>
      </c>
      <c r="N19" s="50">
        <v>10.444000000000001</v>
      </c>
      <c r="O19" s="50">
        <v>8.8770000000000007</v>
      </c>
      <c r="P19" s="50">
        <v>6.5910000000000002</v>
      </c>
      <c r="Q19" s="50">
        <v>7.2140000000000004</v>
      </c>
      <c r="R19" s="50">
        <v>6.6909999999999998</v>
      </c>
      <c r="S19" s="50">
        <v>5.3979999999999997</v>
      </c>
      <c r="T19" s="50">
        <v>4.6539999999999999</v>
      </c>
      <c r="U19" s="50">
        <v>4.2080000000000002</v>
      </c>
      <c r="V19" s="50">
        <v>3.7469999999999999</v>
      </c>
      <c r="W19" s="50">
        <v>4.7359999999999998</v>
      </c>
      <c r="X19" s="50">
        <v>4.806</v>
      </c>
      <c r="Y19" s="50">
        <v>5.0259999999999998</v>
      </c>
      <c r="Z19" s="50">
        <v>4.9610000000000003</v>
      </c>
      <c r="AA19" s="50">
        <v>5.0389999999999997</v>
      </c>
      <c r="AB19" s="50">
        <v>4.9000000000000004</v>
      </c>
      <c r="AC19" s="50">
        <v>6.5309999999999997</v>
      </c>
      <c r="AD19" s="50">
        <v>5.806</v>
      </c>
      <c r="AF19" s="50">
        <f>elechap2b!V19</f>
        <v>339</v>
      </c>
      <c r="AG19" s="50">
        <f>elechap2b!W19</f>
        <v>18</v>
      </c>
      <c r="AI19" s="50">
        <f>SUMIF($B$2:$B$132,"=339",C$2:C$132)</f>
        <v>4.5140000000000002</v>
      </c>
      <c r="AJ19" s="50">
        <f t="shared" ref="AJ19:BJ19" si="21">SUMIF($B$2:$B$132,"=339",D$2:D$132)</f>
        <v>5.2270000000000003</v>
      </c>
      <c r="AK19" s="50">
        <f t="shared" si="21"/>
        <v>5.3979999999999997</v>
      </c>
      <c r="AL19" s="50">
        <f t="shared" si="21"/>
        <v>5.3159999999999998</v>
      </c>
      <c r="AM19" s="50">
        <f t="shared" si="21"/>
        <v>6.4489999999999998</v>
      </c>
      <c r="AN19" s="50">
        <f t="shared" si="21"/>
        <v>7.851</v>
      </c>
      <c r="AO19" s="50">
        <f t="shared" si="21"/>
        <v>8.2739999999999991</v>
      </c>
      <c r="AP19" s="50">
        <f t="shared" si="21"/>
        <v>8.6319999999999997</v>
      </c>
      <c r="AQ19" s="50">
        <f t="shared" si="21"/>
        <v>8.2200000000000006</v>
      </c>
      <c r="AR19" s="50">
        <f t="shared" si="21"/>
        <v>8.3970000000000002</v>
      </c>
      <c r="AS19" s="50">
        <f t="shared" si="21"/>
        <v>9.5570000000000004</v>
      </c>
      <c r="AT19" s="50">
        <f t="shared" si="21"/>
        <v>11.266999999999999</v>
      </c>
      <c r="AU19" s="50">
        <f t="shared" si="21"/>
        <v>11.228999999999999</v>
      </c>
      <c r="AV19" s="50">
        <f t="shared" si="21"/>
        <v>12.727</v>
      </c>
      <c r="AW19" s="50">
        <f t="shared" si="21"/>
        <v>14.259</v>
      </c>
      <c r="AX19" s="50">
        <f t="shared" si="21"/>
        <v>14.273</v>
      </c>
      <c r="AY19" s="50">
        <f t="shared" si="21"/>
        <v>13.500999999999999</v>
      </c>
      <c r="AZ19" s="50">
        <f t="shared" si="21"/>
        <v>13.026999999999999</v>
      </c>
      <c r="BA19" s="50">
        <f t="shared" si="21"/>
        <v>12.7</v>
      </c>
      <c r="BB19" s="50">
        <f t="shared" si="21"/>
        <v>14.068</v>
      </c>
      <c r="BC19" s="50">
        <f t="shared" si="21"/>
        <v>13.611000000000001</v>
      </c>
      <c r="BD19" s="50">
        <f t="shared" si="21"/>
        <v>12.603</v>
      </c>
      <c r="BE19" s="50">
        <f t="shared" si="21"/>
        <v>12.353999999999999</v>
      </c>
      <c r="BF19" s="50">
        <f t="shared" si="21"/>
        <v>12.388</v>
      </c>
      <c r="BG19" s="50">
        <f t="shared" si="21"/>
        <v>12.462999999999999</v>
      </c>
      <c r="BH19" s="50">
        <f t="shared" si="21"/>
        <v>12.375999999999999</v>
      </c>
      <c r="BI19" s="50">
        <f t="shared" si="21"/>
        <v>12.654999999999999</v>
      </c>
      <c r="BJ19" s="50">
        <f t="shared" si="21"/>
        <v>11.894</v>
      </c>
      <c r="BL19" s="50">
        <f>elechap2b!AF19</f>
        <v>11.89</v>
      </c>
      <c r="BM19" s="50">
        <f t="shared" si="4"/>
        <v>339</v>
      </c>
    </row>
    <row r="20" spans="1:65" x14ac:dyDescent="0.25">
      <c r="A20" s="50">
        <f t="shared" si="5"/>
        <v>19</v>
      </c>
      <c r="B20" s="50">
        <v>336</v>
      </c>
      <c r="C20" s="50">
        <v>2.2669999999999999</v>
      </c>
      <c r="D20" s="50">
        <v>2.6720000000000002</v>
      </c>
      <c r="E20" s="50">
        <v>2.6960000000000002</v>
      </c>
      <c r="F20" s="50">
        <v>2.9740000000000002</v>
      </c>
      <c r="G20" s="50">
        <v>2.8660000000000001</v>
      </c>
      <c r="H20" s="50">
        <v>3.0779999999999998</v>
      </c>
      <c r="I20" s="50">
        <v>3.3210000000000002</v>
      </c>
      <c r="J20" s="50">
        <v>3.4540000000000002</v>
      </c>
      <c r="K20" s="50">
        <v>4.4219999999999997</v>
      </c>
      <c r="L20" s="50">
        <v>5.415</v>
      </c>
      <c r="M20" s="50">
        <v>5.8760000000000003</v>
      </c>
      <c r="N20" s="50">
        <v>5.1719999999999997</v>
      </c>
      <c r="O20" s="50">
        <v>5.75</v>
      </c>
      <c r="P20" s="50">
        <v>6.1639999999999997</v>
      </c>
      <c r="Q20" s="50">
        <v>6.1619999999999999</v>
      </c>
      <c r="R20" s="50">
        <v>5.7320000000000002</v>
      </c>
      <c r="S20" s="50">
        <v>5.859</v>
      </c>
      <c r="T20" s="50">
        <v>5.4539999999999997</v>
      </c>
      <c r="U20" s="50">
        <v>5.1040000000000001</v>
      </c>
      <c r="V20" s="50">
        <v>4.298</v>
      </c>
      <c r="W20" s="50">
        <v>4.0369999999999999</v>
      </c>
      <c r="X20" s="50">
        <v>4.0709999999999997</v>
      </c>
      <c r="Y20" s="50">
        <v>3.9289999999999998</v>
      </c>
      <c r="Z20" s="50">
        <v>3.992</v>
      </c>
      <c r="AA20" s="50">
        <v>3.6659999999999999</v>
      </c>
      <c r="AB20" s="50">
        <v>3.9830000000000001</v>
      </c>
      <c r="AC20" s="50">
        <v>4.6449999999999996</v>
      </c>
      <c r="AD20" s="50">
        <v>6.45</v>
      </c>
      <c r="AF20" s="50">
        <v>400</v>
      </c>
      <c r="AG20" s="50">
        <v>19</v>
      </c>
      <c r="AI20" s="50">
        <f>SUMIF($B$2:$B$132,"=400",C$2:C$132)</f>
        <v>123.59700000000002</v>
      </c>
      <c r="AJ20" s="50">
        <f t="shared" ref="AJ20:BJ20" si="22">SUMIF($B$2:$B$132,"=400",D$2:D$132)</f>
        <v>137.006</v>
      </c>
      <c r="AK20" s="50">
        <f t="shared" si="22"/>
        <v>149.52599999999998</v>
      </c>
      <c r="AL20" s="50">
        <f t="shared" si="22"/>
        <v>155.49100000000001</v>
      </c>
      <c r="AM20" s="50">
        <f t="shared" si="22"/>
        <v>163.376</v>
      </c>
      <c r="AN20" s="50">
        <f t="shared" si="22"/>
        <v>172.32300000000004</v>
      </c>
      <c r="AO20" s="50">
        <f t="shared" si="22"/>
        <v>179.31299999999996</v>
      </c>
      <c r="AP20" s="50">
        <f t="shared" si="22"/>
        <v>190.572</v>
      </c>
      <c r="AQ20" s="50">
        <f t="shared" si="22"/>
        <v>201.44299999999998</v>
      </c>
      <c r="AR20" s="50">
        <f t="shared" si="22"/>
        <v>207.374</v>
      </c>
      <c r="AS20" s="50">
        <f t="shared" si="22"/>
        <v>221.13900000000004</v>
      </c>
      <c r="AT20" s="50">
        <f t="shared" si="22"/>
        <v>239.40200000000002</v>
      </c>
      <c r="AU20" s="50">
        <f t="shared" si="22"/>
        <v>256.49899999999997</v>
      </c>
      <c r="AV20" s="50">
        <f t="shared" si="22"/>
        <v>262.245</v>
      </c>
      <c r="AW20" s="50">
        <f t="shared" si="22"/>
        <v>269.37400000000002</v>
      </c>
      <c r="AX20" s="50">
        <f t="shared" si="22"/>
        <v>288.09699999999998</v>
      </c>
      <c r="AY20" s="50">
        <f t="shared" si="22"/>
        <v>293.44600000000003</v>
      </c>
      <c r="AZ20" s="50">
        <f t="shared" si="22"/>
        <v>296.32300000000004</v>
      </c>
      <c r="BA20" s="50">
        <f t="shared" si="22"/>
        <v>323.01100000000008</v>
      </c>
      <c r="BB20" s="50">
        <f t="shared" si="22"/>
        <v>334.19</v>
      </c>
      <c r="BC20" s="50">
        <f t="shared" si="22"/>
        <v>377.32499999999999</v>
      </c>
      <c r="BD20" s="50">
        <f t="shared" si="22"/>
        <v>415.90000000000003</v>
      </c>
      <c r="BE20" s="50">
        <f t="shared" si="22"/>
        <v>418.94900000000001</v>
      </c>
      <c r="BF20" s="50">
        <f t="shared" si="22"/>
        <v>442.85299999999995</v>
      </c>
      <c r="BG20" s="50">
        <f t="shared" si="22"/>
        <v>407.52000000000004</v>
      </c>
      <c r="BH20" s="50">
        <f t="shared" si="22"/>
        <v>425.71099999999996</v>
      </c>
      <c r="BI20" s="50">
        <f t="shared" si="22"/>
        <v>456.15100000000001</v>
      </c>
      <c r="BJ20" s="50">
        <f t="shared" si="22"/>
        <v>462.06799999999993</v>
      </c>
      <c r="BM20" s="50">
        <f t="shared" si="4"/>
        <v>400</v>
      </c>
    </row>
    <row r="21" spans="1:65" x14ac:dyDescent="0.25">
      <c r="A21" s="50">
        <f t="shared" si="5"/>
        <v>20</v>
      </c>
      <c r="B21" s="50">
        <v>336</v>
      </c>
      <c r="C21" s="50">
        <v>0.20599999999999999</v>
      </c>
      <c r="D21" s="50">
        <v>0.27300000000000002</v>
      </c>
      <c r="E21" s="50">
        <v>0.29199999999999998</v>
      </c>
      <c r="F21" s="50">
        <v>0.33</v>
      </c>
      <c r="G21" s="50">
        <v>0.35299999999999998</v>
      </c>
      <c r="H21" s="50">
        <v>0.42899999999999999</v>
      </c>
      <c r="I21" s="50">
        <v>0.29699999999999999</v>
      </c>
      <c r="J21" s="50">
        <v>0.21</v>
      </c>
      <c r="K21" s="50">
        <v>0.311</v>
      </c>
      <c r="L21" s="50">
        <v>0.47799999999999998</v>
      </c>
      <c r="M21" s="50">
        <v>0.63100000000000001</v>
      </c>
      <c r="N21" s="50">
        <v>0.46800000000000003</v>
      </c>
      <c r="O21" s="50">
        <v>0.502</v>
      </c>
      <c r="P21" s="50">
        <v>0.59699999999999998</v>
      </c>
      <c r="Q21" s="50">
        <v>0.41799999999999998</v>
      </c>
      <c r="R21" s="50">
        <v>0.42299999999999999</v>
      </c>
      <c r="S21" s="50">
        <v>0.439</v>
      </c>
      <c r="T21" s="50">
        <v>0.49399999999999999</v>
      </c>
      <c r="U21" s="50">
        <v>0.68200000000000005</v>
      </c>
      <c r="V21" s="50">
        <v>0.85699999999999998</v>
      </c>
      <c r="W21" s="50">
        <v>0.68100000000000005</v>
      </c>
      <c r="X21" s="50">
        <v>0.69299999999999995</v>
      </c>
      <c r="Y21" s="50">
        <v>0.58199999999999996</v>
      </c>
      <c r="Z21" s="50">
        <v>0.59</v>
      </c>
      <c r="AA21" s="50">
        <v>0.70599999999999996</v>
      </c>
      <c r="AB21" s="50">
        <v>0.67900000000000005</v>
      </c>
      <c r="AC21" s="50">
        <v>0.77</v>
      </c>
      <c r="AD21" s="50">
        <v>0.81599999999999995</v>
      </c>
      <c r="AF21" s="50">
        <v>500</v>
      </c>
      <c r="AG21" s="50">
        <v>20</v>
      </c>
      <c r="AI21" s="50">
        <f>SUMIF($B$2:$B$132,"=500",C$2:C$132)</f>
        <v>1006.8579999999998</v>
      </c>
      <c r="AJ21" s="50">
        <f t="shared" ref="AJ21:BJ21" si="23">SUMIF($B$2:$B$132,"=500",D$2:D$132)</f>
        <v>1103.404</v>
      </c>
      <c r="AK21" s="50">
        <f t="shared" si="23"/>
        <v>1136.3020000000001</v>
      </c>
      <c r="AL21" s="50">
        <f t="shared" si="23"/>
        <v>1242.5830000000001</v>
      </c>
      <c r="AM21" s="50">
        <f t="shared" si="23"/>
        <v>1354.6729999999998</v>
      </c>
      <c r="AN21" s="50">
        <f t="shared" si="23"/>
        <v>1498.2949999999998</v>
      </c>
      <c r="AO21" s="50">
        <f t="shared" si="23"/>
        <v>1632.0459999999998</v>
      </c>
      <c r="AP21" s="50">
        <f t="shared" si="23"/>
        <v>1775.0749999999998</v>
      </c>
      <c r="AQ21" s="50">
        <f t="shared" si="23"/>
        <v>1957.693</v>
      </c>
      <c r="AR21" s="50">
        <f t="shared" si="23"/>
        <v>2128.0070000000001</v>
      </c>
      <c r="AS21" s="50">
        <f t="shared" si="23"/>
        <v>2342.2740000000003</v>
      </c>
      <c r="AT21" s="50">
        <f t="shared" si="23"/>
        <v>2563.4590000000003</v>
      </c>
      <c r="AU21" s="50">
        <f t="shared" si="23"/>
        <v>2783.3269999999998</v>
      </c>
      <c r="AV21" s="50">
        <f t="shared" si="23"/>
        <v>2958.67</v>
      </c>
      <c r="AW21" s="50">
        <f t="shared" si="23"/>
        <v>3189.8509999999997</v>
      </c>
      <c r="AX21" s="50">
        <f t="shared" si="23"/>
        <v>3463.0319999999997</v>
      </c>
      <c r="AY21" s="50">
        <f t="shared" si="23"/>
        <v>3486.3449999999998</v>
      </c>
      <c r="AZ21" s="50">
        <f t="shared" si="23"/>
        <v>3712.2440000000001</v>
      </c>
      <c r="BA21" s="50">
        <f t="shared" si="23"/>
        <v>3879.3559999999998</v>
      </c>
      <c r="BB21" s="50">
        <f t="shared" si="23"/>
        <v>4114.34</v>
      </c>
      <c r="BC21" s="50">
        <f t="shared" si="23"/>
        <v>4266.0429999999997</v>
      </c>
      <c r="BD21" s="50">
        <f t="shared" si="23"/>
        <v>4315.2710000000006</v>
      </c>
      <c r="BE21" s="50">
        <f t="shared" si="23"/>
        <v>4529.4410000000007</v>
      </c>
      <c r="BF21" s="50">
        <f t="shared" si="23"/>
        <v>4518.8329999999996</v>
      </c>
      <c r="BG21" s="50">
        <f t="shared" si="23"/>
        <v>4555.9940000000006</v>
      </c>
      <c r="BH21" s="50">
        <f t="shared" si="23"/>
        <v>4701.5519999999997</v>
      </c>
      <c r="BI21" s="50">
        <f t="shared" si="23"/>
        <v>4912.2249999999995</v>
      </c>
      <c r="BJ21" s="50">
        <f t="shared" si="23"/>
        <v>5110.8590000000004</v>
      </c>
      <c r="BM21" s="50">
        <f t="shared" si="4"/>
        <v>500</v>
      </c>
    </row>
    <row r="22" spans="1:65" x14ac:dyDescent="0.25">
      <c r="A22" s="50">
        <f t="shared" si="5"/>
        <v>21</v>
      </c>
      <c r="B22" s="50">
        <v>311</v>
      </c>
      <c r="C22" s="50">
        <v>53.390999999999998</v>
      </c>
      <c r="D22" s="50">
        <v>57.762</v>
      </c>
      <c r="E22" s="50">
        <v>60.956000000000003</v>
      </c>
      <c r="F22" s="50">
        <v>63.317</v>
      </c>
      <c r="G22" s="50">
        <v>65.016000000000005</v>
      </c>
      <c r="H22" s="50">
        <v>68.247</v>
      </c>
      <c r="I22" s="50">
        <v>77.694999999999993</v>
      </c>
      <c r="J22" s="50">
        <v>75.695999999999998</v>
      </c>
      <c r="K22" s="50">
        <v>80.435000000000002</v>
      </c>
      <c r="L22" s="50">
        <v>83.257000000000005</v>
      </c>
      <c r="M22" s="50">
        <v>91.777000000000001</v>
      </c>
      <c r="N22" s="50">
        <v>99.323999999999998</v>
      </c>
      <c r="O22" s="50">
        <v>115.108</v>
      </c>
      <c r="P22" s="50">
        <v>115.279</v>
      </c>
      <c r="Q22" s="50">
        <v>117.29900000000001</v>
      </c>
      <c r="R22" s="50">
        <v>121.628</v>
      </c>
      <c r="S22" s="50">
        <v>125.818</v>
      </c>
      <c r="T22" s="50">
        <v>130.67699999999999</v>
      </c>
      <c r="U22" s="50">
        <v>133.28100000000001</v>
      </c>
      <c r="V22" s="50">
        <v>136.63800000000001</v>
      </c>
      <c r="W22" s="50">
        <v>138.262</v>
      </c>
      <c r="X22" s="50">
        <v>134.89500000000001</v>
      </c>
      <c r="Y22" s="50">
        <v>140.29599999999999</v>
      </c>
      <c r="Z22" s="50">
        <v>141.352</v>
      </c>
      <c r="AA22" s="50">
        <v>156.77099999999999</v>
      </c>
      <c r="AB22" s="50">
        <v>149.786</v>
      </c>
      <c r="AC22" s="50">
        <v>154.72300000000001</v>
      </c>
      <c r="AD22" s="50">
        <v>154.88399999999999</v>
      </c>
    </row>
    <row r="23" spans="1:65" x14ac:dyDescent="0.25">
      <c r="A23" s="50">
        <f t="shared" si="5"/>
        <v>22</v>
      </c>
      <c r="B23" s="50">
        <v>311</v>
      </c>
      <c r="C23" s="50">
        <v>1.1160000000000001</v>
      </c>
      <c r="D23" s="50">
        <v>1.1910000000000001</v>
      </c>
      <c r="E23" s="50">
        <v>1.252</v>
      </c>
      <c r="F23" s="50">
        <v>1.286</v>
      </c>
      <c r="G23" s="50">
        <v>1.3580000000000001</v>
      </c>
      <c r="H23" s="50">
        <v>1.7430000000000001</v>
      </c>
      <c r="I23" s="50">
        <v>1.9179999999999999</v>
      </c>
      <c r="J23" s="50">
        <v>2.0920000000000001</v>
      </c>
      <c r="K23" s="50">
        <v>2.3029999999999999</v>
      </c>
      <c r="L23" s="50">
        <v>2.5150000000000001</v>
      </c>
      <c r="M23" s="50">
        <v>2.5760000000000001</v>
      </c>
      <c r="N23" s="50">
        <v>2.706</v>
      </c>
      <c r="O23" s="50">
        <v>2.9039999999999999</v>
      </c>
      <c r="P23" s="50">
        <v>3.0979999999999999</v>
      </c>
      <c r="Q23" s="50">
        <v>3.2959999999999998</v>
      </c>
      <c r="R23" s="50">
        <v>3.8690000000000002</v>
      </c>
      <c r="S23" s="50">
        <v>3.508</v>
      </c>
      <c r="T23" s="50">
        <v>3.6539999999999999</v>
      </c>
      <c r="U23" s="50">
        <v>3.835</v>
      </c>
      <c r="V23" s="50">
        <v>4.2649999999999997</v>
      </c>
      <c r="W23" s="50">
        <v>4.319</v>
      </c>
      <c r="X23" s="50">
        <v>4.508</v>
      </c>
      <c r="Y23" s="50">
        <v>4.7530000000000001</v>
      </c>
      <c r="Z23" s="50">
        <v>4.8520000000000003</v>
      </c>
      <c r="AA23" s="50">
        <v>4.9800000000000004</v>
      </c>
      <c r="AB23" s="50">
        <v>5.2030000000000003</v>
      </c>
      <c r="AC23" s="50">
        <v>4.8730000000000002</v>
      </c>
      <c r="AD23" s="50">
        <v>5.0709999999999997</v>
      </c>
      <c r="AI23" s="50">
        <f>SUM(AI2:AI22)</f>
        <v>1992.1099999999997</v>
      </c>
      <c r="AJ23" s="50">
        <f t="shared" ref="AJ23:BJ23" si="24">SUM(AJ2:AJ22)</f>
        <v>2203.7379999999998</v>
      </c>
      <c r="AK23" s="50">
        <f t="shared" si="24"/>
        <v>2282.6240000000003</v>
      </c>
      <c r="AL23" s="50">
        <f t="shared" si="24"/>
        <v>2417.4690000000001</v>
      </c>
      <c r="AM23" s="50">
        <f t="shared" si="24"/>
        <v>2593.4639999999999</v>
      </c>
      <c r="AN23" s="50">
        <f t="shared" si="24"/>
        <v>2807.6620000000003</v>
      </c>
      <c r="AO23" s="50">
        <f t="shared" si="24"/>
        <v>3004.7679999999996</v>
      </c>
      <c r="AP23" s="50">
        <f t="shared" si="24"/>
        <v>3255.3449999999998</v>
      </c>
      <c r="AQ23" s="50">
        <f t="shared" si="24"/>
        <v>3547.9110000000001</v>
      </c>
      <c r="AR23" s="50">
        <f t="shared" si="24"/>
        <v>3802.9639999999999</v>
      </c>
      <c r="AS23" s="50">
        <f t="shared" si="24"/>
        <v>4141.898000000001</v>
      </c>
      <c r="AT23" s="50">
        <f t="shared" si="24"/>
        <v>4500.1560000000009</v>
      </c>
      <c r="AU23" s="50">
        <f t="shared" si="24"/>
        <v>4759.0309999999999</v>
      </c>
      <c r="AV23" s="50">
        <f t="shared" si="24"/>
        <v>4987.3310000000001</v>
      </c>
      <c r="AW23" s="50">
        <f t="shared" si="24"/>
        <v>5370.7309999999998</v>
      </c>
      <c r="AX23" s="50">
        <f t="shared" si="24"/>
        <v>5829.6110000000008</v>
      </c>
      <c r="AY23" s="50">
        <f t="shared" si="24"/>
        <v>5892.0640000000003</v>
      </c>
      <c r="AZ23" s="50">
        <f t="shared" si="24"/>
        <v>6027.7650000000003</v>
      </c>
      <c r="BA23" s="50">
        <f t="shared" si="24"/>
        <v>6368.7879999999996</v>
      </c>
      <c r="BB23" s="50">
        <f t="shared" si="24"/>
        <v>6711.9120000000003</v>
      </c>
      <c r="BC23" s="50">
        <f t="shared" si="24"/>
        <v>6948.8579999999993</v>
      </c>
      <c r="BD23" s="50">
        <f t="shared" si="24"/>
        <v>7059.4660000000003</v>
      </c>
      <c r="BE23" s="50">
        <f t="shared" si="24"/>
        <v>7193.7810000000009</v>
      </c>
      <c r="BF23" s="50">
        <f t="shared" si="24"/>
        <v>7233.4940000000006</v>
      </c>
      <c r="BG23" s="50">
        <f t="shared" si="24"/>
        <v>7062.755000000001</v>
      </c>
      <c r="BH23" s="50">
        <f t="shared" si="24"/>
        <v>7252.3639999999996</v>
      </c>
      <c r="BI23" s="50">
        <f t="shared" si="24"/>
        <v>7682.0059999999994</v>
      </c>
      <c r="BJ23" s="50">
        <f t="shared" si="24"/>
        <v>7820.6450000000004</v>
      </c>
    </row>
    <row r="24" spans="1:65" x14ac:dyDescent="0.25">
      <c r="A24" s="50">
        <f t="shared" si="5"/>
        <v>23</v>
      </c>
      <c r="B24" s="50">
        <v>313</v>
      </c>
      <c r="C24" s="50">
        <v>34.090000000000003</v>
      </c>
      <c r="D24" s="50">
        <v>37.450000000000003</v>
      </c>
      <c r="E24" s="50">
        <v>38.040999999999997</v>
      </c>
      <c r="F24" s="50">
        <v>38.323999999999998</v>
      </c>
      <c r="G24" s="50">
        <v>40.146000000000001</v>
      </c>
      <c r="H24" s="50">
        <v>42.353999999999999</v>
      </c>
      <c r="I24" s="50">
        <v>45.725000000000001</v>
      </c>
      <c r="J24" s="50">
        <v>47.942</v>
      </c>
      <c r="K24" s="50">
        <v>51.658000000000001</v>
      </c>
      <c r="L24" s="50">
        <v>56.616</v>
      </c>
      <c r="M24" s="50">
        <v>59.99</v>
      </c>
      <c r="N24" s="50">
        <v>62.698999999999998</v>
      </c>
      <c r="O24" s="50">
        <v>62.985999999999997</v>
      </c>
      <c r="P24" s="50">
        <v>64.682000000000002</v>
      </c>
      <c r="Q24" s="50">
        <v>70.271000000000001</v>
      </c>
      <c r="R24" s="50">
        <v>73.644999999999996</v>
      </c>
      <c r="S24" s="50">
        <v>67.831000000000003</v>
      </c>
      <c r="T24" s="50">
        <v>66.756</v>
      </c>
      <c r="U24" s="50">
        <v>71.703999999999994</v>
      </c>
      <c r="V24" s="50">
        <v>70.421000000000006</v>
      </c>
      <c r="W24" s="50">
        <v>68.212999999999994</v>
      </c>
      <c r="X24" s="50">
        <v>67.73</v>
      </c>
      <c r="Y24" s="50">
        <v>66.546000000000006</v>
      </c>
      <c r="Z24" s="50">
        <v>66.460999999999999</v>
      </c>
      <c r="AA24" s="50">
        <v>61.899000000000001</v>
      </c>
      <c r="AB24" s="50">
        <v>68.423000000000002</v>
      </c>
      <c r="AC24" s="50">
        <v>68.971000000000004</v>
      </c>
      <c r="AD24" s="50">
        <v>65.905000000000001</v>
      </c>
      <c r="AI24" s="50">
        <f>SUM(C2:C133)</f>
        <v>1992.1100000000001</v>
      </c>
      <c r="AJ24" s="50">
        <f t="shared" ref="AJ24:BJ24" si="25">SUM(D2:D133)</f>
        <v>2203.7379999999994</v>
      </c>
      <c r="AK24" s="50">
        <f t="shared" si="25"/>
        <v>2282.6239999999998</v>
      </c>
      <c r="AL24" s="50">
        <f t="shared" si="25"/>
        <v>2417.4690000000001</v>
      </c>
      <c r="AM24" s="50">
        <f t="shared" si="25"/>
        <v>2593.4640000000004</v>
      </c>
      <c r="AN24" s="50">
        <f t="shared" si="25"/>
        <v>2807.6620000000003</v>
      </c>
      <c r="AO24" s="50">
        <f t="shared" si="25"/>
        <v>3004.7679999999996</v>
      </c>
      <c r="AP24" s="50">
        <f t="shared" si="25"/>
        <v>3255.3450000000003</v>
      </c>
      <c r="AQ24" s="50">
        <f t="shared" si="25"/>
        <v>3547.9110000000014</v>
      </c>
      <c r="AR24" s="50">
        <f t="shared" si="25"/>
        <v>3802.9639999999995</v>
      </c>
      <c r="AS24" s="50">
        <f t="shared" si="25"/>
        <v>4141.898000000001</v>
      </c>
      <c r="AT24" s="50">
        <f t="shared" si="25"/>
        <v>4500.1560000000009</v>
      </c>
      <c r="AU24" s="50">
        <f t="shared" si="25"/>
        <v>4759.0309999999999</v>
      </c>
      <c r="AV24" s="50">
        <f t="shared" si="25"/>
        <v>4987.3309999999983</v>
      </c>
      <c r="AW24" s="50">
        <f t="shared" si="25"/>
        <v>5370.7310000000016</v>
      </c>
      <c r="AX24" s="50">
        <f t="shared" si="25"/>
        <v>5829.6109999999999</v>
      </c>
      <c r="AY24" s="50">
        <f t="shared" si="25"/>
        <v>5892.0639999999994</v>
      </c>
      <c r="AZ24" s="50">
        <f t="shared" si="25"/>
        <v>6027.7649999999994</v>
      </c>
      <c r="BA24" s="50">
        <f t="shared" si="25"/>
        <v>6368.7879999999996</v>
      </c>
      <c r="BB24" s="50">
        <f t="shared" si="25"/>
        <v>6711.9120000000003</v>
      </c>
      <c r="BC24" s="50">
        <f t="shared" si="25"/>
        <v>6948.8579999999984</v>
      </c>
      <c r="BD24" s="50">
        <f t="shared" si="25"/>
        <v>7059.4660000000003</v>
      </c>
      <c r="BE24" s="50">
        <f t="shared" si="25"/>
        <v>7193.780999999999</v>
      </c>
      <c r="BF24" s="50">
        <f t="shared" si="25"/>
        <v>7233.4939999999997</v>
      </c>
      <c r="BG24" s="50">
        <f t="shared" si="25"/>
        <v>7062.7550000000001</v>
      </c>
      <c r="BH24" s="50">
        <f t="shared" si="25"/>
        <v>7252.3640000000014</v>
      </c>
      <c r="BI24" s="50">
        <f t="shared" si="25"/>
        <v>7682.0060000000021</v>
      </c>
      <c r="BJ24" s="50">
        <f t="shared" si="25"/>
        <v>7820.6449999999986</v>
      </c>
    </row>
    <row r="25" spans="1:65" x14ac:dyDescent="0.25">
      <c r="A25" s="50">
        <f t="shared" si="5"/>
        <v>24</v>
      </c>
      <c r="B25" s="50">
        <v>313</v>
      </c>
      <c r="C25" s="50">
        <v>3.794</v>
      </c>
      <c r="D25" s="50">
        <v>4.2240000000000002</v>
      </c>
      <c r="E25" s="50">
        <v>4.016</v>
      </c>
      <c r="F25" s="50">
        <v>4.0599999999999996</v>
      </c>
      <c r="G25" s="50">
        <v>4.4660000000000002</v>
      </c>
      <c r="H25" s="50">
        <v>4.1219999999999999</v>
      </c>
      <c r="I25" s="50">
        <v>4.8620000000000001</v>
      </c>
      <c r="J25" s="50">
        <v>5.585</v>
      </c>
      <c r="K25" s="50">
        <v>6.125</v>
      </c>
      <c r="L25" s="50">
        <v>6.6909999999999998</v>
      </c>
      <c r="M25" s="50">
        <v>7.9569999999999999</v>
      </c>
      <c r="N25" s="50">
        <v>8.8949999999999996</v>
      </c>
      <c r="O25" s="50">
        <v>8.9939999999999998</v>
      </c>
      <c r="P25" s="50">
        <v>9.7210000000000001</v>
      </c>
      <c r="Q25" s="50">
        <v>10.861000000000001</v>
      </c>
      <c r="R25" s="50">
        <v>11.321</v>
      </c>
      <c r="S25" s="50">
        <v>10.598000000000001</v>
      </c>
      <c r="T25" s="50">
        <v>10.167999999999999</v>
      </c>
      <c r="U25" s="50">
        <v>10.523</v>
      </c>
      <c r="V25" s="50">
        <v>11.010999999999999</v>
      </c>
      <c r="W25" s="50">
        <v>11.525</v>
      </c>
      <c r="X25" s="50">
        <v>10.912000000000001</v>
      </c>
      <c r="Y25" s="50">
        <v>9.9079999999999995</v>
      </c>
      <c r="Z25" s="50">
        <v>10.108000000000001</v>
      </c>
      <c r="AA25" s="50">
        <v>9.6669999999999998</v>
      </c>
      <c r="AB25" s="50">
        <v>10.212</v>
      </c>
      <c r="AC25" s="50">
        <v>11.164999999999999</v>
      </c>
      <c r="AD25" s="50">
        <v>10.833</v>
      </c>
    </row>
    <row r="26" spans="1:65" x14ac:dyDescent="0.25">
      <c r="A26" s="50">
        <f t="shared" si="5"/>
        <v>25</v>
      </c>
      <c r="B26" s="50">
        <v>313</v>
      </c>
      <c r="C26" s="50">
        <v>1.5029999999999999</v>
      </c>
      <c r="D26" s="50">
        <v>1.6839999999999999</v>
      </c>
      <c r="E26" s="50">
        <v>1.6879999999999999</v>
      </c>
      <c r="F26" s="50">
        <v>1.873</v>
      </c>
      <c r="G26" s="50">
        <v>2.1440000000000001</v>
      </c>
      <c r="H26" s="50">
        <v>2.4420000000000002</v>
      </c>
      <c r="I26" s="50">
        <v>2.9260000000000002</v>
      </c>
      <c r="J26" s="50">
        <v>3.03</v>
      </c>
      <c r="K26" s="50">
        <v>3.4849999999999999</v>
      </c>
      <c r="L26" s="50">
        <v>3.9969999999999999</v>
      </c>
      <c r="M26" s="50">
        <v>5.5010000000000003</v>
      </c>
      <c r="N26" s="50">
        <v>6.0119999999999996</v>
      </c>
      <c r="O26" s="50">
        <v>7.2679999999999998</v>
      </c>
      <c r="P26" s="50">
        <v>8.0289999999999999</v>
      </c>
      <c r="Q26" s="50">
        <v>10.66</v>
      </c>
      <c r="R26" s="50">
        <v>11.154999999999999</v>
      </c>
      <c r="S26" s="50">
        <v>10.257</v>
      </c>
      <c r="T26" s="50">
        <v>11.005000000000001</v>
      </c>
      <c r="U26" s="50">
        <v>10.744</v>
      </c>
      <c r="V26" s="50">
        <v>10.442</v>
      </c>
      <c r="W26" s="50">
        <v>12.053000000000001</v>
      </c>
      <c r="X26" s="50">
        <v>11.849</v>
      </c>
      <c r="Y26" s="50">
        <v>11.34</v>
      </c>
      <c r="Z26" s="50">
        <v>10.708</v>
      </c>
      <c r="AA26" s="50">
        <v>9.9359999999999999</v>
      </c>
      <c r="AB26" s="50">
        <v>10.523999999999999</v>
      </c>
      <c r="AC26" s="50">
        <v>10.624000000000001</v>
      </c>
      <c r="AD26" s="50">
        <v>10.353999999999999</v>
      </c>
      <c r="AS26" s="72" t="s">
        <v>12</v>
      </c>
      <c r="AU26" s="50">
        <f>(33735.8+850.7)*3.412</f>
        <v>118009.13799999999</v>
      </c>
      <c r="BJ26" s="50">
        <f>SUM(BJ2:BJ19)</f>
        <v>2247.7180000000003</v>
      </c>
      <c r="BL26" s="50">
        <f>SUM(BL2:BL19)</f>
        <v>2247.7960000000003</v>
      </c>
    </row>
    <row r="27" spans="1:65" x14ac:dyDescent="0.25">
      <c r="A27" s="50">
        <f t="shared" si="5"/>
        <v>26</v>
      </c>
      <c r="B27" s="50">
        <v>315</v>
      </c>
      <c r="C27" s="50">
        <v>6.2519999999999998</v>
      </c>
      <c r="D27" s="50">
        <v>6.58</v>
      </c>
      <c r="E27" s="50">
        <v>6.7430000000000003</v>
      </c>
      <c r="F27" s="50">
        <v>6.8</v>
      </c>
      <c r="G27" s="50">
        <v>7.6829999999999998</v>
      </c>
      <c r="H27" s="50">
        <v>8.1590000000000007</v>
      </c>
      <c r="I27" s="50">
        <v>9.5009999999999994</v>
      </c>
      <c r="J27" s="50">
        <v>9.1679999999999993</v>
      </c>
      <c r="K27" s="50">
        <v>10.057</v>
      </c>
      <c r="L27" s="50">
        <v>11.33</v>
      </c>
      <c r="M27" s="50">
        <v>14.326000000000001</v>
      </c>
      <c r="N27" s="50">
        <v>14.224</v>
      </c>
      <c r="O27" s="50">
        <v>15.548</v>
      </c>
      <c r="P27" s="50">
        <v>16.254000000000001</v>
      </c>
      <c r="Q27" s="50">
        <v>19.434000000000001</v>
      </c>
      <c r="R27" s="50">
        <v>20.228999999999999</v>
      </c>
      <c r="S27" s="50">
        <v>19.919</v>
      </c>
      <c r="T27" s="50">
        <v>21.01</v>
      </c>
      <c r="U27" s="50">
        <v>20.913</v>
      </c>
      <c r="V27" s="50">
        <v>20.239000000000001</v>
      </c>
      <c r="W27" s="50">
        <v>18.619</v>
      </c>
      <c r="X27" s="50">
        <v>16.114999999999998</v>
      </c>
      <c r="Y27" s="50">
        <v>16.766999999999999</v>
      </c>
      <c r="Z27" s="50">
        <v>16.725000000000001</v>
      </c>
      <c r="AA27" s="50">
        <v>17.141999999999999</v>
      </c>
      <c r="AB27" s="50">
        <v>17.100000000000001</v>
      </c>
      <c r="AC27" s="50">
        <v>19.427</v>
      </c>
      <c r="AD27" s="50">
        <v>16.268000000000001</v>
      </c>
      <c r="AS27" s="50">
        <v>313</v>
      </c>
      <c r="AU27" s="50">
        <f>(23731+1502.3)*3.412</f>
        <v>86096.0196</v>
      </c>
    </row>
    <row r="28" spans="1:65" x14ac:dyDescent="0.25">
      <c r="A28" s="50">
        <f t="shared" si="5"/>
        <v>27</v>
      </c>
      <c r="B28" s="50">
        <v>313</v>
      </c>
      <c r="C28" s="50">
        <v>1.044</v>
      </c>
      <c r="D28" s="50">
        <v>1.177</v>
      </c>
      <c r="E28" s="50">
        <v>1.252</v>
      </c>
      <c r="F28" s="50">
        <v>1.331</v>
      </c>
      <c r="G28" s="50">
        <v>1.4259999999999999</v>
      </c>
      <c r="H28" s="50">
        <v>1.6579999999999999</v>
      </c>
      <c r="I28" s="50">
        <v>1.8360000000000001</v>
      </c>
      <c r="J28" s="50">
        <v>2.177</v>
      </c>
      <c r="K28" s="50">
        <v>2.4670000000000001</v>
      </c>
      <c r="L28" s="50">
        <v>2.8180000000000001</v>
      </c>
      <c r="M28" s="50">
        <v>3.4289999999999998</v>
      </c>
      <c r="N28" s="50">
        <v>4.3949999999999996</v>
      </c>
      <c r="O28" s="50">
        <v>5.125</v>
      </c>
      <c r="P28" s="50">
        <v>6.0259999999999998</v>
      </c>
      <c r="Q28" s="50">
        <v>4.8650000000000002</v>
      </c>
      <c r="R28" s="50">
        <v>4.8479999999999999</v>
      </c>
      <c r="S28" s="50">
        <v>4.92</v>
      </c>
      <c r="T28" s="50">
        <v>5.0259999999999998</v>
      </c>
      <c r="U28" s="50">
        <v>4.7939999999999996</v>
      </c>
      <c r="V28" s="50">
        <v>4.681</v>
      </c>
      <c r="W28" s="50">
        <v>4.3899999999999997</v>
      </c>
      <c r="X28" s="50">
        <v>4.157</v>
      </c>
      <c r="Y28" s="50">
        <v>3.8740000000000001</v>
      </c>
      <c r="Z28" s="50">
        <v>3.94</v>
      </c>
      <c r="AA28" s="50">
        <v>4.4669999999999996</v>
      </c>
      <c r="AB28" s="50">
        <v>4.2210000000000001</v>
      </c>
      <c r="AC28" s="50">
        <v>4.6180000000000003</v>
      </c>
      <c r="AD28" s="50">
        <v>4.6399999999999997</v>
      </c>
    </row>
    <row r="29" spans="1:65" x14ac:dyDescent="0.25">
      <c r="A29" s="50">
        <f t="shared" si="5"/>
        <v>28</v>
      </c>
      <c r="B29" s="50">
        <v>321</v>
      </c>
      <c r="C29" s="50">
        <v>11.667</v>
      </c>
      <c r="D29" s="50">
        <v>13.176</v>
      </c>
      <c r="E29" s="50">
        <v>13.55</v>
      </c>
      <c r="F29" s="50">
        <v>14.5</v>
      </c>
      <c r="G29" s="50">
        <v>15.475</v>
      </c>
      <c r="H29" s="50">
        <v>16.100999999999999</v>
      </c>
      <c r="I29" s="50">
        <v>18.849</v>
      </c>
      <c r="J29" s="50">
        <v>18.841000000000001</v>
      </c>
      <c r="K29" s="50">
        <v>21.606000000000002</v>
      </c>
      <c r="L29" s="50">
        <v>24.672999999999998</v>
      </c>
      <c r="M29" s="50">
        <v>29.192</v>
      </c>
      <c r="N29" s="50">
        <v>31.047999999999998</v>
      </c>
      <c r="O29" s="50">
        <v>33.850999999999999</v>
      </c>
      <c r="P29" s="50">
        <v>37.494999999999997</v>
      </c>
      <c r="Q29" s="50">
        <v>43.557000000000002</v>
      </c>
      <c r="R29" s="50">
        <v>43.908999999999999</v>
      </c>
      <c r="S29" s="50">
        <v>48.408999999999999</v>
      </c>
      <c r="T29" s="50">
        <v>47.436999999999998</v>
      </c>
      <c r="U29" s="50">
        <v>50.87</v>
      </c>
      <c r="V29" s="50">
        <v>52.893000000000001</v>
      </c>
      <c r="W29" s="50">
        <v>54.692999999999998</v>
      </c>
      <c r="X29" s="50">
        <v>52.918999999999997</v>
      </c>
      <c r="Y29" s="50">
        <v>48.268999999999998</v>
      </c>
      <c r="Z29" s="50">
        <v>47.917000000000002</v>
      </c>
      <c r="AA29" s="50">
        <v>48.128</v>
      </c>
      <c r="AB29" s="50">
        <v>50.771000000000001</v>
      </c>
      <c r="AC29" s="50">
        <v>55.353000000000002</v>
      </c>
      <c r="AD29" s="50">
        <v>55.429000000000002</v>
      </c>
    </row>
    <row r="30" spans="1:65" x14ac:dyDescent="0.25">
      <c r="A30" s="50">
        <f t="shared" si="5"/>
        <v>29</v>
      </c>
      <c r="B30" s="50">
        <v>321</v>
      </c>
      <c r="C30" s="50">
        <v>5.3999999999999999E-2</v>
      </c>
      <c r="D30" s="50">
        <v>6.6000000000000003E-2</v>
      </c>
      <c r="E30" s="50">
        <v>7.0000000000000007E-2</v>
      </c>
      <c r="F30" s="50">
        <v>8.3000000000000004E-2</v>
      </c>
      <c r="G30" s="50">
        <v>9.0999999999999998E-2</v>
      </c>
      <c r="H30" s="50">
        <v>0.109</v>
      </c>
      <c r="I30" s="50">
        <v>0.11899999999999999</v>
      </c>
      <c r="J30" s="50">
        <v>0.127</v>
      </c>
      <c r="K30" s="50">
        <v>0.13600000000000001</v>
      </c>
      <c r="L30" s="50">
        <v>0.14299999999999999</v>
      </c>
      <c r="M30" s="50">
        <v>0.188</v>
      </c>
      <c r="N30" s="50">
        <v>0.21299999999999999</v>
      </c>
      <c r="O30" s="50">
        <v>0.249</v>
      </c>
      <c r="P30" s="50">
        <v>0.378</v>
      </c>
      <c r="Q30" s="50">
        <v>0.52300000000000002</v>
      </c>
      <c r="R30" s="50">
        <v>0.54900000000000004</v>
      </c>
      <c r="S30" s="50">
        <v>0.499</v>
      </c>
      <c r="T30" s="50">
        <v>0.42399999999999999</v>
      </c>
      <c r="U30" s="50">
        <v>0.45400000000000001</v>
      </c>
      <c r="V30" s="50">
        <v>0.51900000000000002</v>
      </c>
      <c r="W30" s="50">
        <v>0.498</v>
      </c>
      <c r="X30" s="50">
        <v>0.439</v>
      </c>
      <c r="Y30" s="50">
        <v>0.435</v>
      </c>
      <c r="Z30" s="50">
        <v>0.38200000000000001</v>
      </c>
      <c r="AA30" s="50">
        <v>0.42899999999999999</v>
      </c>
      <c r="AB30" s="50">
        <v>0.42099999999999999</v>
      </c>
      <c r="AC30" s="50">
        <v>0.40899999999999997</v>
      </c>
      <c r="AD30" s="50">
        <v>0.38200000000000001</v>
      </c>
    </row>
    <row r="31" spans="1:65" x14ac:dyDescent="0.25">
      <c r="A31" s="50">
        <f t="shared" si="5"/>
        <v>30</v>
      </c>
      <c r="B31" s="50">
        <v>321</v>
      </c>
      <c r="C31" s="50">
        <v>0.60399999999999998</v>
      </c>
      <c r="D31" s="50">
        <v>0.621</v>
      </c>
      <c r="E31" s="50">
        <v>0.66900000000000004</v>
      </c>
      <c r="F31" s="50">
        <v>0.71</v>
      </c>
      <c r="G31" s="50">
        <v>0.747</v>
      </c>
      <c r="H31" s="50">
        <v>0.624</v>
      </c>
      <c r="I31" s="50">
        <v>0.60399999999999998</v>
      </c>
      <c r="J31" s="50">
        <v>0.64500000000000002</v>
      </c>
      <c r="K31" s="50">
        <v>0.68899999999999995</v>
      </c>
      <c r="L31" s="50">
        <v>0.67600000000000005</v>
      </c>
      <c r="M31" s="50">
        <v>0.71299999999999997</v>
      </c>
      <c r="N31" s="50">
        <v>0.77500000000000002</v>
      </c>
      <c r="O31" s="50">
        <v>0.71</v>
      </c>
      <c r="P31" s="50">
        <v>0.7</v>
      </c>
      <c r="Q31" s="50">
        <v>0.82599999999999996</v>
      </c>
      <c r="R31" s="50">
        <v>0.747</v>
      </c>
      <c r="S31" s="50">
        <v>0.83899999999999997</v>
      </c>
      <c r="T31" s="50">
        <v>0.79200000000000004</v>
      </c>
      <c r="U31" s="50">
        <v>0.877</v>
      </c>
      <c r="V31" s="50">
        <v>0.68899999999999995</v>
      </c>
      <c r="W31" s="50">
        <v>0.63600000000000001</v>
      </c>
      <c r="X31" s="50">
        <v>0.63400000000000001</v>
      </c>
      <c r="Y31" s="50">
        <v>0.56599999999999995</v>
      </c>
      <c r="Z31" s="50">
        <v>0.51</v>
      </c>
      <c r="AA31" s="50">
        <v>0.501</v>
      </c>
      <c r="AB31" s="50">
        <v>0.53100000000000003</v>
      </c>
      <c r="AC31" s="50">
        <v>0.39100000000000001</v>
      </c>
      <c r="AD31" s="50">
        <v>0.44500000000000001</v>
      </c>
    </row>
    <row r="32" spans="1:65" x14ac:dyDescent="0.25">
      <c r="A32" s="50">
        <f t="shared" si="5"/>
        <v>31</v>
      </c>
      <c r="B32" s="50">
        <v>337</v>
      </c>
      <c r="C32" s="50">
        <v>3.0059999999999998</v>
      </c>
      <c r="D32" s="50">
        <v>3.4049999999999998</v>
      </c>
      <c r="E32" s="50">
        <v>3.3849999999999998</v>
      </c>
      <c r="F32" s="50">
        <v>3.3439999999999999</v>
      </c>
      <c r="G32" s="50">
        <v>3.6480000000000001</v>
      </c>
      <c r="H32" s="50">
        <v>3.5619999999999998</v>
      </c>
      <c r="I32" s="50">
        <v>4.34</v>
      </c>
      <c r="J32" s="50">
        <v>4.3739999999999997</v>
      </c>
      <c r="K32" s="50">
        <v>4.78</v>
      </c>
      <c r="L32" s="50">
        <v>5.0739999999999998</v>
      </c>
      <c r="M32" s="50">
        <v>5.6429999999999998</v>
      </c>
      <c r="N32" s="50">
        <v>6.07</v>
      </c>
      <c r="O32" s="50">
        <v>7.51</v>
      </c>
      <c r="P32" s="50">
        <v>7.51</v>
      </c>
      <c r="Q32" s="50">
        <v>8.3770000000000007</v>
      </c>
      <c r="R32" s="50">
        <v>9.1170000000000009</v>
      </c>
      <c r="S32" s="50">
        <v>8.8409999999999993</v>
      </c>
      <c r="T32" s="50">
        <v>8.7520000000000007</v>
      </c>
      <c r="U32" s="50">
        <v>9.1199999999999992</v>
      </c>
      <c r="V32" s="50">
        <v>9.5640000000000001</v>
      </c>
      <c r="W32" s="50">
        <v>9.59</v>
      </c>
      <c r="X32" s="50">
        <v>9.1080000000000005</v>
      </c>
      <c r="Y32" s="50">
        <v>8.8650000000000002</v>
      </c>
      <c r="Z32" s="50">
        <v>8.6660000000000004</v>
      </c>
      <c r="AA32" s="50">
        <v>8.4320000000000004</v>
      </c>
      <c r="AB32" s="50">
        <v>8.5</v>
      </c>
      <c r="AC32" s="50">
        <v>8.7940000000000005</v>
      </c>
      <c r="AD32" s="50">
        <v>8.6389999999999993</v>
      </c>
    </row>
    <row r="33" spans="1:30" x14ac:dyDescent="0.25">
      <c r="A33" s="50">
        <f t="shared" si="5"/>
        <v>32</v>
      </c>
      <c r="B33" s="50">
        <v>337</v>
      </c>
      <c r="C33" s="50">
        <v>1.4159999999999999</v>
      </c>
      <c r="D33" s="50">
        <v>1.542</v>
      </c>
      <c r="E33" s="50">
        <v>1.6279999999999999</v>
      </c>
      <c r="F33" s="50">
        <v>1.655</v>
      </c>
      <c r="G33" s="50">
        <v>1.6679999999999999</v>
      </c>
      <c r="H33" s="50">
        <v>2.016</v>
      </c>
      <c r="I33" s="50">
        <v>2.04</v>
      </c>
      <c r="J33" s="50">
        <v>2.4049999999999998</v>
      </c>
      <c r="K33" s="50">
        <v>2.3610000000000002</v>
      </c>
      <c r="L33" s="50">
        <v>2.7709999999999999</v>
      </c>
      <c r="M33" s="50">
        <v>3.3879999999999999</v>
      </c>
      <c r="N33" s="50">
        <v>4.7729999999999997</v>
      </c>
      <c r="O33" s="50">
        <v>4.0570000000000004</v>
      </c>
      <c r="P33" s="50">
        <v>3.968</v>
      </c>
      <c r="Q33" s="50">
        <v>3.45</v>
      </c>
      <c r="R33" s="50">
        <v>3.859</v>
      </c>
      <c r="S33" s="50">
        <v>4.8550000000000004</v>
      </c>
      <c r="T33" s="50">
        <v>4.5039999999999996</v>
      </c>
      <c r="U33" s="50">
        <v>4.4219999999999997</v>
      </c>
      <c r="V33" s="50">
        <v>4.7329999999999997</v>
      </c>
      <c r="W33" s="50">
        <v>4.9279999999999999</v>
      </c>
      <c r="X33" s="50">
        <v>4.6520000000000001</v>
      </c>
      <c r="Y33" s="50">
        <v>4.6180000000000003</v>
      </c>
      <c r="Z33" s="50">
        <v>5.4710000000000001</v>
      </c>
      <c r="AA33" s="50">
        <v>5.2149999999999999</v>
      </c>
      <c r="AB33" s="50">
        <v>6.0609999999999999</v>
      </c>
      <c r="AC33" s="50">
        <v>6.72</v>
      </c>
      <c r="AD33" s="50">
        <v>6.6289999999999996</v>
      </c>
    </row>
    <row r="34" spans="1:30" x14ac:dyDescent="0.25">
      <c r="A34" s="50">
        <f t="shared" si="5"/>
        <v>33</v>
      </c>
      <c r="B34" s="50">
        <v>322</v>
      </c>
      <c r="C34" s="50">
        <v>21.09</v>
      </c>
      <c r="D34" s="50">
        <v>23.707000000000001</v>
      </c>
      <c r="E34" s="50">
        <v>26.16</v>
      </c>
      <c r="F34" s="50">
        <v>26.587</v>
      </c>
      <c r="G34" s="50">
        <v>28.298999999999999</v>
      </c>
      <c r="H34" s="50">
        <v>31.012</v>
      </c>
      <c r="I34" s="50">
        <v>32.744999999999997</v>
      </c>
      <c r="J34" s="50">
        <v>36.314</v>
      </c>
      <c r="K34" s="50">
        <v>40.777000000000001</v>
      </c>
      <c r="L34" s="50">
        <v>43.595999999999997</v>
      </c>
      <c r="M34" s="50">
        <v>49.215000000000003</v>
      </c>
      <c r="N34" s="50">
        <v>53.862000000000002</v>
      </c>
      <c r="O34" s="50">
        <v>54.595999999999997</v>
      </c>
      <c r="P34" s="50">
        <v>57.850999999999999</v>
      </c>
      <c r="Q34" s="50">
        <v>61.415999999999997</v>
      </c>
      <c r="R34" s="50">
        <v>62.597000000000001</v>
      </c>
      <c r="S34" s="50">
        <v>63.109000000000002</v>
      </c>
      <c r="T34" s="50">
        <v>60.069000000000003</v>
      </c>
      <c r="U34" s="50">
        <v>71.311000000000007</v>
      </c>
      <c r="V34" s="50">
        <v>72.649000000000001</v>
      </c>
      <c r="W34" s="50">
        <v>72.299000000000007</v>
      </c>
      <c r="X34" s="50">
        <v>74.504999999999995</v>
      </c>
      <c r="Y34" s="50">
        <v>80.950999999999993</v>
      </c>
      <c r="Z34" s="50">
        <v>85.671000000000006</v>
      </c>
      <c r="AA34" s="50">
        <v>87.966999999999999</v>
      </c>
      <c r="AB34" s="50">
        <v>90.96</v>
      </c>
      <c r="AC34" s="50">
        <v>93.119</v>
      </c>
      <c r="AD34" s="50">
        <v>97.311000000000007</v>
      </c>
    </row>
    <row r="35" spans="1:30" x14ac:dyDescent="0.25">
      <c r="A35" s="50">
        <f t="shared" si="5"/>
        <v>34</v>
      </c>
      <c r="B35" s="50">
        <v>322</v>
      </c>
      <c r="C35" s="50">
        <v>18.026</v>
      </c>
      <c r="D35" s="50">
        <v>20.37</v>
      </c>
      <c r="E35" s="50">
        <v>20.827000000000002</v>
      </c>
      <c r="F35" s="50">
        <v>22.236000000000001</v>
      </c>
      <c r="G35" s="50">
        <v>24.468</v>
      </c>
      <c r="H35" s="50">
        <v>26.812000000000001</v>
      </c>
      <c r="I35" s="50">
        <v>30.756</v>
      </c>
      <c r="J35" s="50">
        <v>30.562000000000001</v>
      </c>
      <c r="K35" s="50">
        <v>34.536000000000001</v>
      </c>
      <c r="L35" s="50">
        <v>37.265999999999998</v>
      </c>
      <c r="M35" s="50">
        <v>41.588999999999999</v>
      </c>
      <c r="N35" s="50">
        <v>44.042000000000002</v>
      </c>
      <c r="O35" s="50">
        <v>47.707000000000001</v>
      </c>
      <c r="P35" s="50">
        <v>50.408999999999999</v>
      </c>
      <c r="Q35" s="50">
        <v>52.725999999999999</v>
      </c>
      <c r="R35" s="50">
        <v>55.746000000000002</v>
      </c>
      <c r="S35" s="50">
        <v>64.248000000000005</v>
      </c>
      <c r="T35" s="50">
        <v>62.466999999999999</v>
      </c>
      <c r="U35" s="50">
        <v>65.677999999999997</v>
      </c>
      <c r="V35" s="50">
        <v>67.707999999999998</v>
      </c>
      <c r="W35" s="50">
        <v>71.518000000000001</v>
      </c>
      <c r="X35" s="50">
        <v>71.558000000000007</v>
      </c>
      <c r="Y35" s="50">
        <v>77.242000000000004</v>
      </c>
      <c r="Z35" s="50">
        <v>80.753</v>
      </c>
      <c r="AA35" s="50">
        <v>73.012</v>
      </c>
      <c r="AB35" s="50">
        <v>73.457999999999998</v>
      </c>
      <c r="AC35" s="50">
        <v>77.126000000000005</v>
      </c>
      <c r="AD35" s="50">
        <v>68.715999999999994</v>
      </c>
    </row>
    <row r="36" spans="1:30" x14ac:dyDescent="0.25">
      <c r="A36" s="50">
        <f t="shared" si="5"/>
        <v>35</v>
      </c>
      <c r="B36" s="50">
        <v>322</v>
      </c>
      <c r="C36" s="50">
        <v>3.323</v>
      </c>
      <c r="D36" s="50">
        <v>3.8109999999999999</v>
      </c>
      <c r="E36" s="50">
        <v>3.9380000000000002</v>
      </c>
      <c r="F36" s="50">
        <v>4.4800000000000004</v>
      </c>
      <c r="G36" s="50">
        <v>4.8620000000000001</v>
      </c>
      <c r="H36" s="50">
        <v>5.2140000000000004</v>
      </c>
      <c r="I36" s="50">
        <v>5.79</v>
      </c>
      <c r="J36" s="50">
        <v>6.3940000000000001</v>
      </c>
      <c r="K36" s="50">
        <v>7.141</v>
      </c>
      <c r="L36" s="50">
        <v>7.367</v>
      </c>
      <c r="M36" s="50">
        <v>8.5370000000000008</v>
      </c>
      <c r="N36" s="50">
        <v>9.5909999999999993</v>
      </c>
      <c r="O36" s="50">
        <v>10.567</v>
      </c>
      <c r="P36" s="50">
        <v>10.853999999999999</v>
      </c>
      <c r="Q36" s="50">
        <v>11.385999999999999</v>
      </c>
      <c r="R36" s="50">
        <v>11.641999999999999</v>
      </c>
      <c r="S36" s="50">
        <v>12.092000000000001</v>
      </c>
      <c r="T36" s="50">
        <v>10.946</v>
      </c>
      <c r="U36" s="50">
        <v>11.29</v>
      </c>
      <c r="V36" s="50">
        <v>11.683</v>
      </c>
      <c r="W36" s="50">
        <v>11.808</v>
      </c>
      <c r="X36" s="50">
        <v>11.439</v>
      </c>
      <c r="Y36" s="50">
        <v>11.331</v>
      </c>
      <c r="Z36" s="50">
        <v>11.679</v>
      </c>
      <c r="AA36" s="50">
        <v>11.462999999999999</v>
      </c>
      <c r="AB36" s="50">
        <v>12.374000000000001</v>
      </c>
      <c r="AC36" s="50">
        <v>12.657999999999999</v>
      </c>
      <c r="AD36" s="50">
        <v>13.616</v>
      </c>
    </row>
    <row r="37" spans="1:30" x14ac:dyDescent="0.25">
      <c r="A37" s="50">
        <f t="shared" si="5"/>
        <v>36</v>
      </c>
      <c r="B37" s="50">
        <v>323</v>
      </c>
      <c r="C37" s="50">
        <v>10.25</v>
      </c>
      <c r="D37" s="50">
        <v>11.26</v>
      </c>
      <c r="E37" s="50">
        <v>11.87</v>
      </c>
      <c r="F37" s="50">
        <v>12.771000000000001</v>
      </c>
      <c r="G37" s="50">
        <v>13.696</v>
      </c>
      <c r="H37" s="50">
        <v>13.986000000000001</v>
      </c>
      <c r="I37" s="50">
        <v>15.815</v>
      </c>
      <c r="J37" s="50">
        <v>16.312999999999999</v>
      </c>
      <c r="K37" s="50">
        <v>17.251000000000001</v>
      </c>
      <c r="L37" s="50">
        <v>19.847999999999999</v>
      </c>
      <c r="M37" s="50">
        <v>23.556999999999999</v>
      </c>
      <c r="N37" s="50">
        <v>25.754000000000001</v>
      </c>
      <c r="O37" s="50">
        <v>31.045999999999999</v>
      </c>
      <c r="P37" s="50">
        <v>30.951000000000001</v>
      </c>
      <c r="Q37" s="50">
        <v>31.254000000000001</v>
      </c>
      <c r="R37" s="50">
        <v>33.393999999999998</v>
      </c>
      <c r="S37" s="50">
        <v>30.684000000000001</v>
      </c>
      <c r="T37" s="50">
        <v>33.898000000000003</v>
      </c>
      <c r="U37" s="50">
        <v>34.54</v>
      </c>
      <c r="V37" s="50">
        <v>36.011000000000003</v>
      </c>
      <c r="W37" s="50">
        <v>35.299999999999997</v>
      </c>
      <c r="X37" s="50">
        <v>32.374000000000002</v>
      </c>
      <c r="Y37" s="50">
        <v>32.944000000000003</v>
      </c>
      <c r="Z37" s="50">
        <v>35.151000000000003</v>
      </c>
      <c r="AA37" s="50">
        <v>36.296999999999997</v>
      </c>
      <c r="AB37" s="50">
        <v>36.463999999999999</v>
      </c>
      <c r="AC37" s="50">
        <v>42.9</v>
      </c>
      <c r="AD37" s="50">
        <v>42.25</v>
      </c>
    </row>
    <row r="38" spans="1:30" x14ac:dyDescent="0.25">
      <c r="A38" s="50">
        <f t="shared" si="5"/>
        <v>37</v>
      </c>
      <c r="B38" s="50">
        <v>325</v>
      </c>
      <c r="C38" s="50">
        <v>245.59800000000001</v>
      </c>
      <c r="D38" s="50">
        <v>251.94399999999999</v>
      </c>
      <c r="E38" s="50">
        <v>253.83799999999999</v>
      </c>
      <c r="F38" s="50">
        <v>260.07799999999997</v>
      </c>
      <c r="G38" s="50">
        <v>253.578</v>
      </c>
      <c r="H38" s="50">
        <v>261.21800000000002</v>
      </c>
      <c r="I38" s="50">
        <v>232.107</v>
      </c>
      <c r="J38" s="50">
        <v>250.04</v>
      </c>
      <c r="K38" s="50">
        <v>242.56100000000001</v>
      </c>
      <c r="L38" s="50">
        <v>246.93199999999999</v>
      </c>
      <c r="M38" s="50">
        <v>239.197</v>
      </c>
      <c r="N38" s="50">
        <v>238.57599999999999</v>
      </c>
      <c r="O38" s="50">
        <v>209.60400000000001</v>
      </c>
      <c r="P38" s="50">
        <v>238.678</v>
      </c>
      <c r="Q38" s="50">
        <v>276.26100000000002</v>
      </c>
      <c r="R38" s="50">
        <v>297.04399999999998</v>
      </c>
      <c r="S38" s="50">
        <v>294.42700000000002</v>
      </c>
      <c r="T38" s="50">
        <v>303.35599999999999</v>
      </c>
      <c r="U38" s="50">
        <v>350.22699999999998</v>
      </c>
      <c r="V38" s="50">
        <v>355.017</v>
      </c>
      <c r="W38" s="50">
        <v>343.30900000000003</v>
      </c>
      <c r="X38" s="50">
        <v>332.50400000000002</v>
      </c>
      <c r="Y38" s="50">
        <v>299.21300000000002</v>
      </c>
      <c r="Z38" s="50">
        <v>292.53100000000001</v>
      </c>
      <c r="AA38" s="50">
        <v>267.096</v>
      </c>
      <c r="AB38" s="50">
        <v>293.66000000000003</v>
      </c>
      <c r="AC38" s="50">
        <v>316.46899999999999</v>
      </c>
      <c r="AD38" s="50">
        <v>289.85199999999998</v>
      </c>
    </row>
    <row r="39" spans="1:30" x14ac:dyDescent="0.25">
      <c r="A39" s="50">
        <f t="shared" si="5"/>
        <v>38</v>
      </c>
      <c r="B39" s="50">
        <v>325</v>
      </c>
      <c r="C39" s="50">
        <v>4.91</v>
      </c>
      <c r="D39" s="50">
        <v>6.2709999999999999</v>
      </c>
      <c r="E39" s="50">
        <v>7.2610000000000001</v>
      </c>
      <c r="F39" s="50">
        <v>8.1820000000000004</v>
      </c>
      <c r="G39" s="50">
        <v>9.8330000000000002</v>
      </c>
      <c r="H39" s="50">
        <v>11.853</v>
      </c>
      <c r="I39" s="50">
        <v>14.307</v>
      </c>
      <c r="J39" s="50">
        <v>16.337</v>
      </c>
      <c r="K39" s="50">
        <v>18.684000000000001</v>
      </c>
      <c r="L39" s="50">
        <v>21.939</v>
      </c>
      <c r="M39" s="50">
        <v>22.911999999999999</v>
      </c>
      <c r="N39" s="50">
        <v>27.02</v>
      </c>
      <c r="O39" s="50">
        <v>25.036999999999999</v>
      </c>
      <c r="P39" s="50">
        <v>24.661999999999999</v>
      </c>
      <c r="Q39" s="50">
        <v>24.201000000000001</v>
      </c>
      <c r="R39" s="50">
        <v>23.908000000000001</v>
      </c>
      <c r="S39" s="50">
        <v>24.187999999999999</v>
      </c>
      <c r="T39" s="50">
        <v>26.733000000000001</v>
      </c>
      <c r="U39" s="50">
        <v>28.783999999999999</v>
      </c>
      <c r="V39" s="50">
        <v>30.271000000000001</v>
      </c>
      <c r="W39" s="50">
        <v>29.885999999999999</v>
      </c>
      <c r="X39" s="50">
        <v>28.302</v>
      </c>
      <c r="Y39" s="50">
        <v>28.797000000000001</v>
      </c>
      <c r="Z39" s="50">
        <v>28.722999999999999</v>
      </c>
      <c r="AA39" s="50">
        <v>25.228000000000002</v>
      </c>
      <c r="AB39" s="50">
        <v>22.324000000000002</v>
      </c>
      <c r="AC39" s="50">
        <v>25.231000000000002</v>
      </c>
      <c r="AD39" s="50">
        <v>24.116</v>
      </c>
    </row>
    <row r="40" spans="1:30" x14ac:dyDescent="0.25">
      <c r="A40" s="50">
        <f t="shared" si="5"/>
        <v>39</v>
      </c>
      <c r="B40" s="50">
        <v>325</v>
      </c>
      <c r="C40" s="50">
        <v>0.35499999999999998</v>
      </c>
      <c r="D40" s="50">
        <v>0.38900000000000001</v>
      </c>
      <c r="E40" s="50">
        <v>0.41599999999999998</v>
      </c>
      <c r="F40" s="50">
        <v>0.45400000000000001</v>
      </c>
      <c r="G40" s="50">
        <v>0.47099999999999997</v>
      </c>
      <c r="H40" s="50">
        <v>0.66200000000000003</v>
      </c>
      <c r="I40" s="50">
        <v>0.80900000000000005</v>
      </c>
      <c r="J40" s="50">
        <v>0.93500000000000005</v>
      </c>
      <c r="K40" s="50">
        <v>1.0609999999999999</v>
      </c>
      <c r="L40" s="50">
        <v>1.2150000000000001</v>
      </c>
      <c r="M40" s="50">
        <v>1.351</v>
      </c>
      <c r="N40" s="50">
        <v>1.532</v>
      </c>
      <c r="O40" s="50">
        <v>1.7330000000000001</v>
      </c>
      <c r="P40" s="50">
        <v>1.931</v>
      </c>
      <c r="Q40" s="50">
        <v>2.4089999999999998</v>
      </c>
      <c r="R40" s="50">
        <v>2.9750000000000001</v>
      </c>
      <c r="S40" s="50">
        <v>2.9340000000000002</v>
      </c>
      <c r="T40" s="50">
        <v>2.2519999999999998</v>
      </c>
      <c r="U40" s="50">
        <v>3.4729999999999999</v>
      </c>
      <c r="V40" s="50">
        <v>3.2280000000000002</v>
      </c>
      <c r="W40" s="50">
        <v>3.3650000000000002</v>
      </c>
      <c r="X40" s="50">
        <v>4.0119999999999996</v>
      </c>
      <c r="Y40" s="50">
        <v>4.1820000000000004</v>
      </c>
      <c r="Z40" s="50">
        <v>5.1230000000000002</v>
      </c>
      <c r="AA40" s="50">
        <v>4.82</v>
      </c>
      <c r="AB40" s="50">
        <v>5.0010000000000003</v>
      </c>
      <c r="AC40" s="50">
        <v>5.5490000000000004</v>
      </c>
      <c r="AD40" s="50">
        <v>5.4379999999999997</v>
      </c>
    </row>
    <row r="41" spans="1:30" x14ac:dyDescent="0.25">
      <c r="A41" s="50">
        <f t="shared" si="5"/>
        <v>40</v>
      </c>
      <c r="B41" s="50">
        <v>325</v>
      </c>
      <c r="C41" s="50">
        <v>3.45</v>
      </c>
      <c r="D41" s="50">
        <v>3.6779999999999999</v>
      </c>
      <c r="E41" s="50">
        <v>3.8250000000000002</v>
      </c>
      <c r="F41" s="50">
        <v>4.03</v>
      </c>
      <c r="G41" s="50">
        <v>4.0940000000000003</v>
      </c>
      <c r="H41" s="50">
        <v>4.7089999999999996</v>
      </c>
      <c r="I41" s="50">
        <v>5.1449999999999996</v>
      </c>
      <c r="J41" s="50">
        <v>5.5890000000000004</v>
      </c>
      <c r="K41" s="50">
        <v>6.0529999999999999</v>
      </c>
      <c r="L41" s="50">
        <v>6.7350000000000003</v>
      </c>
      <c r="M41" s="50">
        <v>7.7619999999999996</v>
      </c>
      <c r="N41" s="50">
        <v>9.0419999999999998</v>
      </c>
      <c r="O41" s="50">
        <v>9.4550000000000001</v>
      </c>
      <c r="P41" s="50">
        <v>9.5839999999999996</v>
      </c>
      <c r="Q41" s="50">
        <v>10.816000000000001</v>
      </c>
      <c r="R41" s="50">
        <v>10.864000000000001</v>
      </c>
      <c r="S41" s="50">
        <v>9.2880000000000003</v>
      </c>
      <c r="T41" s="50">
        <v>9.0210000000000008</v>
      </c>
      <c r="U41" s="50">
        <v>9.5779999999999994</v>
      </c>
      <c r="V41" s="50">
        <v>9.7720000000000002</v>
      </c>
      <c r="W41" s="50">
        <v>10.401999999999999</v>
      </c>
      <c r="X41" s="50">
        <v>13.603999999999999</v>
      </c>
      <c r="Y41" s="50">
        <v>9.6129999999999995</v>
      </c>
      <c r="Z41" s="50">
        <v>11.003</v>
      </c>
      <c r="AA41" s="50">
        <v>10.515000000000001</v>
      </c>
      <c r="AB41" s="50">
        <v>10.304</v>
      </c>
      <c r="AC41" s="50">
        <v>12.231</v>
      </c>
      <c r="AD41" s="50">
        <v>12.063000000000001</v>
      </c>
    </row>
    <row r="42" spans="1:30" x14ac:dyDescent="0.25">
      <c r="A42" s="50">
        <f t="shared" si="5"/>
        <v>41</v>
      </c>
      <c r="B42" s="50">
        <v>325</v>
      </c>
      <c r="C42" s="50">
        <v>4.234</v>
      </c>
      <c r="D42" s="50">
        <v>4.9710000000000001</v>
      </c>
      <c r="E42" s="50">
        <v>5.4109999999999996</v>
      </c>
      <c r="F42" s="50">
        <v>5.5</v>
      </c>
      <c r="G42" s="50">
        <v>6.1109999999999998</v>
      </c>
      <c r="H42" s="50">
        <v>6.8140000000000001</v>
      </c>
      <c r="I42" s="50">
        <v>7.4690000000000003</v>
      </c>
      <c r="J42" s="50">
        <v>8.4890000000000008</v>
      </c>
      <c r="K42" s="50">
        <v>10.276999999999999</v>
      </c>
      <c r="L42" s="50">
        <v>12.488</v>
      </c>
      <c r="M42" s="50">
        <v>12.603999999999999</v>
      </c>
      <c r="N42" s="50">
        <v>15.391999999999999</v>
      </c>
      <c r="O42" s="50">
        <v>17.483000000000001</v>
      </c>
      <c r="P42" s="50">
        <v>17.702000000000002</v>
      </c>
      <c r="Q42" s="50">
        <v>24.15</v>
      </c>
      <c r="R42" s="50">
        <v>25.821999999999999</v>
      </c>
      <c r="S42" s="50">
        <v>27.327000000000002</v>
      </c>
      <c r="T42" s="50">
        <v>24.881</v>
      </c>
      <c r="U42" s="50">
        <v>28.003</v>
      </c>
      <c r="V42" s="50">
        <v>31.38</v>
      </c>
      <c r="W42" s="50">
        <v>34.112000000000002</v>
      </c>
      <c r="X42" s="50">
        <v>41.52</v>
      </c>
      <c r="Y42" s="50">
        <v>40.552999999999997</v>
      </c>
      <c r="Z42" s="50">
        <v>41.814999999999998</v>
      </c>
      <c r="AA42" s="50">
        <v>35.343000000000004</v>
      </c>
      <c r="AB42" s="50">
        <v>34.612000000000002</v>
      </c>
      <c r="AC42" s="50">
        <v>37.738999999999997</v>
      </c>
      <c r="AD42" s="50">
        <v>40.417000000000002</v>
      </c>
    </row>
    <row r="43" spans="1:30" x14ac:dyDescent="0.25">
      <c r="A43" s="50">
        <f t="shared" si="5"/>
        <v>42</v>
      </c>
      <c r="B43" s="50">
        <v>325</v>
      </c>
      <c r="C43" s="50">
        <v>2.0680000000000001</v>
      </c>
      <c r="D43" s="50">
        <v>2.464</v>
      </c>
      <c r="E43" s="50">
        <v>2.6720000000000002</v>
      </c>
      <c r="F43" s="50">
        <v>2.7360000000000002</v>
      </c>
      <c r="G43" s="50">
        <v>3.0779999999999998</v>
      </c>
      <c r="H43" s="50">
        <v>3.3439999999999999</v>
      </c>
      <c r="I43" s="50">
        <v>3.5830000000000002</v>
      </c>
      <c r="J43" s="50">
        <v>3.9889999999999999</v>
      </c>
      <c r="K43" s="50">
        <v>4.7729999999999997</v>
      </c>
      <c r="L43" s="50">
        <v>5.3570000000000002</v>
      </c>
      <c r="M43" s="50">
        <v>5.34</v>
      </c>
      <c r="N43" s="50">
        <v>6.23</v>
      </c>
      <c r="O43" s="50">
        <v>6.7249999999999996</v>
      </c>
      <c r="P43" s="50">
        <v>6.6429999999999998</v>
      </c>
      <c r="Q43" s="50">
        <v>5.62</v>
      </c>
      <c r="R43" s="50">
        <v>6.2539999999999996</v>
      </c>
      <c r="S43" s="50">
        <v>5.77</v>
      </c>
      <c r="T43" s="50">
        <v>4.1459999999999999</v>
      </c>
      <c r="U43" s="50">
        <v>4.4589999999999996</v>
      </c>
      <c r="V43" s="50">
        <v>4.5380000000000003</v>
      </c>
      <c r="W43" s="50">
        <v>4.6970000000000001</v>
      </c>
      <c r="X43" s="50">
        <v>5.3949999999999996</v>
      </c>
      <c r="Y43" s="50">
        <v>4.8360000000000003</v>
      </c>
      <c r="Z43" s="50">
        <v>4.9119999999999999</v>
      </c>
      <c r="AA43" s="50">
        <v>5.0359999999999996</v>
      </c>
      <c r="AB43" s="50">
        <v>4.8490000000000002</v>
      </c>
      <c r="AC43" s="50">
        <v>4.7770000000000001</v>
      </c>
      <c r="AD43" s="50">
        <v>4.3719999999999999</v>
      </c>
    </row>
    <row r="44" spans="1:30" x14ac:dyDescent="0.25">
      <c r="A44" s="50">
        <f t="shared" si="5"/>
        <v>43</v>
      </c>
      <c r="B44" s="50">
        <v>325</v>
      </c>
      <c r="C44" s="50">
        <v>1.9790000000000001</v>
      </c>
      <c r="D44" s="50">
        <v>2.3370000000000002</v>
      </c>
      <c r="E44" s="50">
        <v>2.7229999999999999</v>
      </c>
      <c r="F44" s="50">
        <v>3.2759999999999998</v>
      </c>
      <c r="G44" s="50">
        <v>4.1050000000000004</v>
      </c>
      <c r="H44" s="50">
        <v>4.8280000000000003</v>
      </c>
      <c r="I44" s="50">
        <v>5.7560000000000002</v>
      </c>
      <c r="J44" s="50">
        <v>7.2539999999999996</v>
      </c>
      <c r="K44" s="50">
        <v>8.6289999999999996</v>
      </c>
      <c r="L44" s="50">
        <v>10.276999999999999</v>
      </c>
      <c r="M44" s="50">
        <v>12.664999999999999</v>
      </c>
      <c r="N44" s="50">
        <v>13.808999999999999</v>
      </c>
      <c r="O44" s="50">
        <v>17.21</v>
      </c>
      <c r="P44" s="50">
        <v>18.268000000000001</v>
      </c>
      <c r="Q44" s="50">
        <v>20.622</v>
      </c>
      <c r="R44" s="50">
        <v>22.39</v>
      </c>
      <c r="S44" s="50">
        <v>25.367999999999999</v>
      </c>
      <c r="T44" s="50">
        <v>22.762</v>
      </c>
      <c r="U44" s="50">
        <v>24.795000000000002</v>
      </c>
      <c r="V44" s="50">
        <v>27.486999999999998</v>
      </c>
      <c r="W44" s="50">
        <v>27.347000000000001</v>
      </c>
      <c r="X44" s="50">
        <v>28.335000000000001</v>
      </c>
      <c r="Y44" s="50">
        <v>26.048999999999999</v>
      </c>
      <c r="Z44" s="50">
        <v>25.905000000000001</v>
      </c>
      <c r="AA44" s="50">
        <v>23.297999999999998</v>
      </c>
      <c r="AB44" s="50">
        <v>24.286999999999999</v>
      </c>
      <c r="AC44" s="50">
        <v>24.233000000000001</v>
      </c>
      <c r="AD44" s="50">
        <v>23.92</v>
      </c>
    </row>
    <row r="45" spans="1:30" x14ac:dyDescent="0.25">
      <c r="A45" s="50">
        <f t="shared" si="5"/>
        <v>44</v>
      </c>
      <c r="B45" s="50">
        <v>325</v>
      </c>
      <c r="C45" s="50">
        <v>4.7050000000000001</v>
      </c>
      <c r="D45" s="50">
        <v>5.3810000000000002</v>
      </c>
      <c r="E45" s="50">
        <v>5.5890000000000004</v>
      </c>
      <c r="F45" s="50">
        <v>5.9880000000000004</v>
      </c>
      <c r="G45" s="50">
        <v>6.5750000000000002</v>
      </c>
      <c r="H45" s="50">
        <v>7.0940000000000003</v>
      </c>
      <c r="I45" s="50">
        <v>7.4210000000000003</v>
      </c>
      <c r="J45" s="50">
        <v>8.0830000000000002</v>
      </c>
      <c r="K45" s="50">
        <v>8.6669999999999998</v>
      </c>
      <c r="L45" s="50">
        <v>9.3450000000000006</v>
      </c>
      <c r="M45" s="50">
        <v>10.512</v>
      </c>
      <c r="N45" s="50">
        <v>11.884</v>
      </c>
      <c r="O45" s="50">
        <v>13.112</v>
      </c>
      <c r="P45" s="50">
        <v>14.29</v>
      </c>
      <c r="Q45" s="50">
        <v>16.074000000000002</v>
      </c>
      <c r="R45" s="50">
        <v>17.062999999999999</v>
      </c>
      <c r="S45" s="50">
        <v>17.827999999999999</v>
      </c>
      <c r="T45" s="50">
        <v>18.004999999999999</v>
      </c>
      <c r="U45" s="50">
        <v>19.042000000000002</v>
      </c>
      <c r="V45" s="50">
        <v>19.991</v>
      </c>
      <c r="W45" s="50">
        <v>21.507000000000001</v>
      </c>
      <c r="X45" s="50">
        <v>21.602</v>
      </c>
      <c r="Y45" s="50">
        <v>22.739000000000001</v>
      </c>
      <c r="Z45" s="50">
        <v>23.771999999999998</v>
      </c>
      <c r="AA45" s="50">
        <v>24.361999999999998</v>
      </c>
      <c r="AB45" s="50">
        <v>23.991</v>
      </c>
      <c r="AC45" s="50">
        <v>24.672000000000001</v>
      </c>
      <c r="AD45" s="50">
        <v>24.276</v>
      </c>
    </row>
    <row r="46" spans="1:30" x14ac:dyDescent="0.25">
      <c r="A46" s="50">
        <f t="shared" si="5"/>
        <v>45</v>
      </c>
      <c r="B46" s="50">
        <v>325</v>
      </c>
      <c r="C46" s="50">
        <v>1.2350000000000001</v>
      </c>
      <c r="D46" s="50">
        <v>1.44</v>
      </c>
      <c r="E46" s="50">
        <v>1.413</v>
      </c>
      <c r="F46" s="50">
        <v>1.3919999999999999</v>
      </c>
      <c r="G46" s="50">
        <v>1.484</v>
      </c>
      <c r="H46" s="50">
        <v>1.6379999999999999</v>
      </c>
      <c r="I46" s="50">
        <v>1.7330000000000001</v>
      </c>
      <c r="J46" s="50">
        <v>1.911</v>
      </c>
      <c r="K46" s="50">
        <v>2.0680000000000001</v>
      </c>
      <c r="L46" s="50">
        <v>2.0099999999999998</v>
      </c>
      <c r="M46" s="50">
        <v>2.1429999999999998</v>
      </c>
      <c r="N46" s="50">
        <v>2.2309999999999999</v>
      </c>
      <c r="O46" s="50">
        <v>2.6</v>
      </c>
      <c r="P46" s="50">
        <v>2.62</v>
      </c>
      <c r="Q46" s="50">
        <v>3.0470000000000002</v>
      </c>
      <c r="R46" s="50">
        <v>3.1080000000000001</v>
      </c>
      <c r="S46" s="50">
        <v>3.085</v>
      </c>
      <c r="T46" s="50">
        <v>3.2690000000000001</v>
      </c>
      <c r="U46" s="50">
        <v>3.3610000000000002</v>
      </c>
      <c r="V46" s="50">
        <v>3.4630000000000001</v>
      </c>
      <c r="W46" s="50">
        <v>3.6259999999999999</v>
      </c>
      <c r="X46" s="50">
        <v>3.105</v>
      </c>
      <c r="Y46" s="50">
        <v>2.992</v>
      </c>
      <c r="Z46" s="50">
        <v>2.9969999999999999</v>
      </c>
      <c r="AA46" s="50">
        <v>2.722</v>
      </c>
      <c r="AB46" s="50">
        <v>3.3149999999999999</v>
      </c>
      <c r="AC46" s="50">
        <v>3.335</v>
      </c>
      <c r="AD46" s="50">
        <v>3.2360000000000002</v>
      </c>
    </row>
    <row r="47" spans="1:30" x14ac:dyDescent="0.25">
      <c r="A47" s="50">
        <f t="shared" si="5"/>
        <v>46</v>
      </c>
      <c r="B47" s="50">
        <v>324</v>
      </c>
      <c r="C47" s="50">
        <v>31.100999999999999</v>
      </c>
      <c r="D47" s="50">
        <v>33.950000000000003</v>
      </c>
      <c r="E47" s="50">
        <v>36.040999999999997</v>
      </c>
      <c r="F47" s="50">
        <v>38.981999999999999</v>
      </c>
      <c r="G47" s="50">
        <v>41.445999999999998</v>
      </c>
      <c r="H47" s="50">
        <v>45.776000000000003</v>
      </c>
      <c r="I47" s="50">
        <v>48.12</v>
      </c>
      <c r="J47" s="50">
        <v>49.505000000000003</v>
      </c>
      <c r="K47" s="50">
        <v>51.405999999999999</v>
      </c>
      <c r="L47" s="50">
        <v>59.622</v>
      </c>
      <c r="M47" s="50">
        <v>65.861999999999995</v>
      </c>
      <c r="N47" s="50">
        <v>70.822999999999993</v>
      </c>
      <c r="O47" s="50">
        <v>71.525999999999996</v>
      </c>
      <c r="P47" s="50">
        <v>76.852000000000004</v>
      </c>
      <c r="Q47" s="50">
        <v>80.92</v>
      </c>
      <c r="R47" s="50">
        <v>84.738</v>
      </c>
      <c r="S47" s="50">
        <v>88.111999999999995</v>
      </c>
      <c r="T47" s="50">
        <v>85.105999999999995</v>
      </c>
      <c r="U47" s="50">
        <v>89.658000000000001</v>
      </c>
      <c r="V47" s="50">
        <v>97.180999999999997</v>
      </c>
      <c r="W47" s="50">
        <v>97.338999999999999</v>
      </c>
      <c r="X47" s="50">
        <v>101.971</v>
      </c>
      <c r="Y47" s="50">
        <v>104.09699999999999</v>
      </c>
      <c r="Z47" s="50">
        <v>105.649</v>
      </c>
      <c r="AA47" s="50">
        <v>110.246</v>
      </c>
      <c r="AB47" s="50">
        <v>107.89400000000001</v>
      </c>
      <c r="AC47" s="50">
        <v>112.899</v>
      </c>
      <c r="AD47" s="50">
        <v>113.316</v>
      </c>
    </row>
    <row r="48" spans="1:30" x14ac:dyDescent="0.25">
      <c r="A48" s="50">
        <f t="shared" si="5"/>
        <v>47</v>
      </c>
      <c r="B48" s="50">
        <v>324</v>
      </c>
      <c r="C48" s="50">
        <v>0.26300000000000001</v>
      </c>
      <c r="D48" s="50">
        <v>0.27300000000000002</v>
      </c>
      <c r="E48" s="50">
        <v>0.27</v>
      </c>
      <c r="F48" s="50">
        <v>0.26600000000000001</v>
      </c>
      <c r="G48" s="50">
        <v>0.26600000000000001</v>
      </c>
      <c r="H48" s="50">
        <v>0.28299999999999997</v>
      </c>
      <c r="I48" s="50">
        <v>0.30399999999999999</v>
      </c>
      <c r="J48" s="50">
        <v>0.307</v>
      </c>
      <c r="K48" s="50">
        <v>0.317</v>
      </c>
      <c r="L48" s="50">
        <v>0.34499999999999997</v>
      </c>
      <c r="M48" s="50">
        <v>0.40300000000000002</v>
      </c>
      <c r="N48" s="50">
        <v>0.46400000000000002</v>
      </c>
      <c r="O48" s="50">
        <v>0.56000000000000005</v>
      </c>
      <c r="P48" s="50">
        <v>0.57299999999999995</v>
      </c>
      <c r="Q48" s="50">
        <v>0.6</v>
      </c>
      <c r="R48" s="50">
        <v>0.64800000000000002</v>
      </c>
      <c r="S48" s="50">
        <v>0.80200000000000005</v>
      </c>
      <c r="T48" s="50">
        <v>0.78100000000000003</v>
      </c>
      <c r="U48" s="50">
        <v>0.86</v>
      </c>
      <c r="V48" s="50">
        <v>1.0169999999999999</v>
      </c>
      <c r="W48" s="50">
        <v>0.99099999999999999</v>
      </c>
      <c r="X48" s="50">
        <v>1.1479999999999999</v>
      </c>
      <c r="Y48" s="50">
        <v>1.125</v>
      </c>
      <c r="Z48" s="50">
        <v>1.175</v>
      </c>
      <c r="AA48" s="50">
        <v>1.1850000000000001</v>
      </c>
      <c r="AB48" s="50">
        <v>1.349</v>
      </c>
      <c r="AC48" s="50">
        <v>1.4339999999999999</v>
      </c>
      <c r="AD48" s="50">
        <v>1.3280000000000001</v>
      </c>
    </row>
    <row r="49" spans="1:30" x14ac:dyDescent="0.25">
      <c r="A49" s="50">
        <f t="shared" si="5"/>
        <v>48</v>
      </c>
      <c r="B49" s="50">
        <v>324</v>
      </c>
      <c r="C49" s="50">
        <v>1.034</v>
      </c>
      <c r="D49" s="50">
        <v>1.365</v>
      </c>
      <c r="E49" s="50">
        <v>1.675</v>
      </c>
      <c r="F49" s="50">
        <v>1.8360000000000001</v>
      </c>
      <c r="G49" s="50">
        <v>1.4570000000000001</v>
      </c>
      <c r="H49" s="50">
        <v>1.6379999999999999</v>
      </c>
      <c r="I49" s="50">
        <v>1.89</v>
      </c>
      <c r="J49" s="50">
        <v>2.02</v>
      </c>
      <c r="K49" s="50">
        <v>2.0369999999999999</v>
      </c>
      <c r="L49" s="50">
        <v>2.085</v>
      </c>
      <c r="M49" s="50">
        <v>2.4670000000000001</v>
      </c>
      <c r="N49" s="50">
        <v>2.6240000000000001</v>
      </c>
      <c r="O49" s="50">
        <v>2.9</v>
      </c>
      <c r="P49" s="50">
        <v>3.0640000000000001</v>
      </c>
      <c r="Q49" s="50">
        <v>3.1589999999999998</v>
      </c>
      <c r="R49" s="50">
        <v>3.34</v>
      </c>
      <c r="S49" s="50">
        <v>4.03</v>
      </c>
      <c r="T49" s="50">
        <v>4.1870000000000003</v>
      </c>
      <c r="U49" s="50">
        <v>4.04</v>
      </c>
      <c r="V49" s="50">
        <v>4.6849999999999996</v>
      </c>
      <c r="W49" s="50">
        <v>4.9240000000000004</v>
      </c>
      <c r="X49" s="50">
        <v>4.5990000000000002</v>
      </c>
      <c r="Y49" s="50">
        <v>4.6859999999999999</v>
      </c>
      <c r="Z49" s="50">
        <v>4.2240000000000002</v>
      </c>
      <c r="AA49" s="50">
        <v>5.2089999999999996</v>
      </c>
      <c r="AB49" s="50">
        <v>4.8680000000000003</v>
      </c>
      <c r="AC49" s="50">
        <v>4.3949999999999996</v>
      </c>
      <c r="AD49" s="50">
        <v>4.6059999999999999</v>
      </c>
    </row>
    <row r="50" spans="1:30" x14ac:dyDescent="0.25">
      <c r="A50" s="50">
        <f t="shared" si="5"/>
        <v>49</v>
      </c>
      <c r="B50" s="50">
        <v>326</v>
      </c>
      <c r="C50" s="50">
        <v>17.353999999999999</v>
      </c>
      <c r="D50" s="50">
        <v>19.643000000000001</v>
      </c>
      <c r="E50" s="50">
        <v>20.597999999999999</v>
      </c>
      <c r="F50" s="50">
        <v>21.404</v>
      </c>
      <c r="G50" s="50">
        <v>24.021000000000001</v>
      </c>
      <c r="H50" s="50">
        <v>25.259</v>
      </c>
      <c r="I50" s="50">
        <v>27.548999999999999</v>
      </c>
      <c r="J50" s="50">
        <v>31.247</v>
      </c>
      <c r="K50" s="50">
        <v>38.389000000000003</v>
      </c>
      <c r="L50" s="50">
        <v>36.475000000000001</v>
      </c>
      <c r="M50" s="50">
        <v>43.295000000000002</v>
      </c>
      <c r="N50" s="50">
        <v>47.607999999999997</v>
      </c>
      <c r="O50" s="50">
        <v>50.732999999999997</v>
      </c>
      <c r="P50" s="50">
        <v>55.055999999999997</v>
      </c>
      <c r="Q50" s="50">
        <v>61.726999999999997</v>
      </c>
      <c r="R50" s="50">
        <v>68.227000000000004</v>
      </c>
      <c r="S50" s="50">
        <v>64.739999999999995</v>
      </c>
      <c r="T50" s="50">
        <v>64.122</v>
      </c>
      <c r="U50" s="50">
        <v>67.387</v>
      </c>
      <c r="V50" s="50">
        <v>76.965000000000003</v>
      </c>
      <c r="W50" s="50">
        <v>78.375</v>
      </c>
      <c r="X50" s="50">
        <v>77.924999999999997</v>
      </c>
      <c r="Y50" s="50">
        <v>73.906999999999996</v>
      </c>
      <c r="Z50" s="50">
        <v>78.180000000000007</v>
      </c>
      <c r="AA50" s="50">
        <v>105.07899999999999</v>
      </c>
      <c r="AB50" s="50">
        <v>109.32</v>
      </c>
      <c r="AC50" s="50">
        <v>100.827</v>
      </c>
      <c r="AD50" s="50">
        <v>102.71</v>
      </c>
    </row>
    <row r="51" spans="1:30" x14ac:dyDescent="0.25">
      <c r="A51" s="50">
        <f t="shared" si="5"/>
        <v>50</v>
      </c>
      <c r="B51" s="50">
        <v>315</v>
      </c>
      <c r="C51" s="50">
        <v>0.97199999999999998</v>
      </c>
      <c r="D51" s="50">
        <v>1.054</v>
      </c>
      <c r="E51" s="50">
        <v>1.0920000000000001</v>
      </c>
      <c r="F51" s="50">
        <v>1.0820000000000001</v>
      </c>
      <c r="G51" s="50">
        <v>1.133</v>
      </c>
      <c r="H51" s="50">
        <v>1.208</v>
      </c>
      <c r="I51" s="50">
        <v>1.2450000000000001</v>
      </c>
      <c r="J51" s="50">
        <v>1.3440000000000001</v>
      </c>
      <c r="K51" s="50">
        <v>1.3240000000000001</v>
      </c>
      <c r="L51" s="50">
        <v>1.409</v>
      </c>
      <c r="M51" s="50">
        <v>1.389</v>
      </c>
      <c r="N51" s="50">
        <v>1.28</v>
      </c>
      <c r="O51" s="50">
        <v>1.194</v>
      </c>
      <c r="P51" s="50">
        <v>1.2390000000000001</v>
      </c>
      <c r="Q51" s="50">
        <v>1.222</v>
      </c>
      <c r="R51" s="50">
        <v>1.2010000000000001</v>
      </c>
      <c r="S51" s="50">
        <v>1.0680000000000001</v>
      </c>
      <c r="T51" s="50">
        <v>1.242</v>
      </c>
      <c r="U51" s="50">
        <v>1.2689999999999999</v>
      </c>
      <c r="V51" s="50">
        <v>1.266</v>
      </c>
      <c r="W51" s="50">
        <v>1.3049999999999999</v>
      </c>
      <c r="X51" s="50">
        <v>1.141</v>
      </c>
      <c r="Y51" s="50">
        <v>1.385</v>
      </c>
      <c r="Z51" s="50">
        <v>1.173</v>
      </c>
      <c r="AA51" s="50">
        <v>1.105</v>
      </c>
      <c r="AB51" s="50">
        <v>1.077</v>
      </c>
      <c r="AC51" s="50">
        <v>1.0629999999999999</v>
      </c>
      <c r="AD51" s="50">
        <v>0.997</v>
      </c>
    </row>
    <row r="52" spans="1:30" x14ac:dyDescent="0.25">
      <c r="A52" s="50">
        <f t="shared" si="5"/>
        <v>51</v>
      </c>
      <c r="B52" s="50">
        <v>315</v>
      </c>
      <c r="C52" s="50">
        <v>1.6619999999999999</v>
      </c>
      <c r="D52" s="50">
        <v>1.645</v>
      </c>
      <c r="E52" s="50">
        <v>1.6140000000000001</v>
      </c>
      <c r="F52" s="50">
        <v>1.7569999999999999</v>
      </c>
      <c r="G52" s="50">
        <v>1.89</v>
      </c>
      <c r="H52" s="50">
        <v>1.9690000000000001</v>
      </c>
      <c r="I52" s="50">
        <v>2.044</v>
      </c>
      <c r="J52" s="50">
        <v>2.2490000000000001</v>
      </c>
      <c r="K52" s="50">
        <v>2.7360000000000002</v>
      </c>
      <c r="L52" s="50">
        <v>3.0910000000000002</v>
      </c>
      <c r="M52" s="50">
        <v>3.5419999999999998</v>
      </c>
      <c r="N52" s="50">
        <v>3.835</v>
      </c>
      <c r="O52" s="50">
        <v>4.9240000000000004</v>
      </c>
      <c r="P52" s="50">
        <v>3.8220000000000001</v>
      </c>
      <c r="Q52" s="50">
        <v>4.2</v>
      </c>
      <c r="R52" s="50">
        <v>4.2210000000000001</v>
      </c>
      <c r="S52" s="50">
        <v>4.0570000000000004</v>
      </c>
      <c r="T52" s="50">
        <v>3.968</v>
      </c>
      <c r="U52" s="50">
        <v>3.883</v>
      </c>
      <c r="V52" s="50">
        <v>3.569</v>
      </c>
      <c r="W52" s="50">
        <v>3.444</v>
      </c>
      <c r="X52" s="50">
        <v>3.1970000000000001</v>
      </c>
      <c r="Y52" s="50">
        <v>3.2589999999999999</v>
      </c>
      <c r="Z52" s="50">
        <v>3.3330000000000002</v>
      </c>
      <c r="AA52" s="50">
        <v>2.9750000000000001</v>
      </c>
      <c r="AB52" s="50">
        <v>3.0150000000000001</v>
      </c>
      <c r="AC52" s="50">
        <v>2.9790000000000001</v>
      </c>
      <c r="AD52" s="50">
        <v>2.5529999999999999</v>
      </c>
    </row>
    <row r="53" spans="1:30" x14ac:dyDescent="0.25">
      <c r="A53" s="50">
        <f t="shared" si="5"/>
        <v>52</v>
      </c>
      <c r="B53" s="50">
        <v>327</v>
      </c>
      <c r="C53" s="50">
        <v>9.0009999999999994</v>
      </c>
      <c r="D53" s="50">
        <v>10.805999999999999</v>
      </c>
      <c r="E53" s="50">
        <v>11.26</v>
      </c>
      <c r="F53" s="50">
        <v>11.413</v>
      </c>
      <c r="G53" s="50">
        <v>12.497999999999999</v>
      </c>
      <c r="H53" s="50">
        <v>12.962</v>
      </c>
      <c r="I53" s="50">
        <v>13.877000000000001</v>
      </c>
      <c r="J53" s="50">
        <v>15.167</v>
      </c>
      <c r="K53" s="50">
        <v>16.452999999999999</v>
      </c>
      <c r="L53" s="50">
        <v>16.617000000000001</v>
      </c>
      <c r="M53" s="50">
        <v>16.617000000000001</v>
      </c>
      <c r="N53" s="50">
        <v>19.984000000000002</v>
      </c>
      <c r="O53" s="50">
        <v>21.404</v>
      </c>
      <c r="P53" s="50">
        <v>22.26</v>
      </c>
      <c r="Q53" s="50">
        <v>24.402999999999999</v>
      </c>
      <c r="R53" s="50">
        <v>26.405999999999999</v>
      </c>
      <c r="S53" s="50">
        <v>26.675000000000001</v>
      </c>
      <c r="T53" s="50">
        <v>27.061</v>
      </c>
      <c r="U53" s="50">
        <v>29.292000000000002</v>
      </c>
      <c r="V53" s="50">
        <v>30.475999999999999</v>
      </c>
      <c r="W53" s="50">
        <v>32.381999999999998</v>
      </c>
      <c r="X53" s="50">
        <v>32.509</v>
      </c>
      <c r="Y53" s="50">
        <v>31.478000000000002</v>
      </c>
      <c r="Z53" s="50">
        <v>32.354999999999997</v>
      </c>
      <c r="AA53" s="50">
        <v>31.186</v>
      </c>
      <c r="AB53" s="50">
        <v>30.606999999999999</v>
      </c>
      <c r="AC53" s="50">
        <v>31.195</v>
      </c>
      <c r="AD53" s="50">
        <v>30.425000000000001</v>
      </c>
    </row>
    <row r="54" spans="1:30" x14ac:dyDescent="0.25">
      <c r="A54" s="50">
        <f t="shared" si="5"/>
        <v>53</v>
      </c>
      <c r="B54" s="50">
        <v>327</v>
      </c>
      <c r="C54" s="50">
        <v>17.117999999999999</v>
      </c>
      <c r="D54" s="50">
        <v>18.271000000000001</v>
      </c>
      <c r="E54" s="50">
        <v>18.503</v>
      </c>
      <c r="F54" s="50">
        <v>19.032</v>
      </c>
      <c r="G54" s="50">
        <v>20.175000000000001</v>
      </c>
      <c r="H54" s="50">
        <v>22.245999999999999</v>
      </c>
      <c r="I54" s="50">
        <v>23.574000000000002</v>
      </c>
      <c r="J54" s="50">
        <v>24.876999999999999</v>
      </c>
      <c r="K54" s="50">
        <v>26.053999999999998</v>
      </c>
      <c r="L54" s="50">
        <v>25.573</v>
      </c>
      <c r="M54" s="50">
        <v>26.795000000000002</v>
      </c>
      <c r="N54" s="50">
        <v>28.327000000000002</v>
      </c>
      <c r="O54" s="50">
        <v>28.411999999999999</v>
      </c>
      <c r="P54" s="50">
        <v>29.053000000000001</v>
      </c>
      <c r="Q54" s="50">
        <v>32.343000000000004</v>
      </c>
      <c r="R54" s="50">
        <v>33.462000000000003</v>
      </c>
      <c r="S54" s="50">
        <v>33.795999999999999</v>
      </c>
      <c r="T54" s="50">
        <v>30.004999999999999</v>
      </c>
      <c r="U54" s="50">
        <v>31.186</v>
      </c>
      <c r="V54" s="50">
        <v>33.515999999999998</v>
      </c>
      <c r="W54" s="50">
        <v>35.53</v>
      </c>
      <c r="X54" s="50">
        <v>35.238</v>
      </c>
      <c r="Y54" s="50">
        <v>31.52</v>
      </c>
      <c r="Z54" s="50">
        <v>30.446000000000002</v>
      </c>
      <c r="AA54" s="50">
        <v>28.731999999999999</v>
      </c>
      <c r="AB54" s="50">
        <v>28.355</v>
      </c>
      <c r="AC54" s="50">
        <v>31.152000000000001</v>
      </c>
      <c r="AD54" s="50">
        <v>32.088000000000001</v>
      </c>
    </row>
    <row r="55" spans="1:30" x14ac:dyDescent="0.25">
      <c r="A55" s="50">
        <f t="shared" si="5"/>
        <v>54</v>
      </c>
      <c r="B55" s="50">
        <v>327</v>
      </c>
      <c r="C55" s="50">
        <v>15.351000000000001</v>
      </c>
      <c r="D55" s="50">
        <v>19.029</v>
      </c>
      <c r="E55" s="50">
        <v>19.701000000000001</v>
      </c>
      <c r="F55" s="50">
        <v>19.861000000000001</v>
      </c>
      <c r="G55" s="50">
        <v>20.734999999999999</v>
      </c>
      <c r="H55" s="50">
        <v>20.745000000000001</v>
      </c>
      <c r="I55" s="50">
        <v>23.253</v>
      </c>
      <c r="J55" s="50">
        <v>24.109000000000002</v>
      </c>
      <c r="K55" s="50">
        <v>35.939</v>
      </c>
      <c r="L55" s="50">
        <v>25.074999999999999</v>
      </c>
      <c r="M55" s="50">
        <v>33.423999999999999</v>
      </c>
      <c r="N55" s="50">
        <v>32.673999999999999</v>
      </c>
      <c r="O55" s="50">
        <v>33.131</v>
      </c>
      <c r="P55" s="50">
        <v>33.895000000000003</v>
      </c>
      <c r="Q55" s="50">
        <v>36.103000000000002</v>
      </c>
      <c r="R55" s="50">
        <v>37.89</v>
      </c>
      <c r="S55" s="50">
        <v>38.524999999999999</v>
      </c>
      <c r="T55" s="50">
        <v>37.784999999999997</v>
      </c>
      <c r="U55" s="50">
        <v>39.276000000000003</v>
      </c>
      <c r="V55" s="50">
        <v>41.524000000000001</v>
      </c>
      <c r="W55" s="50">
        <v>43.844999999999999</v>
      </c>
      <c r="X55" s="50">
        <v>44.8</v>
      </c>
      <c r="Y55" s="50">
        <v>41.087000000000003</v>
      </c>
      <c r="Z55" s="50">
        <v>39.93</v>
      </c>
      <c r="AA55" s="50">
        <v>35.186999999999998</v>
      </c>
      <c r="AB55" s="50">
        <v>36.395000000000003</v>
      </c>
      <c r="AC55" s="50">
        <v>40.159999999999997</v>
      </c>
      <c r="AD55" s="50">
        <v>49.957999999999998</v>
      </c>
    </row>
    <row r="56" spans="1:30" x14ac:dyDescent="0.25">
      <c r="A56" s="50">
        <f t="shared" si="5"/>
        <v>55</v>
      </c>
      <c r="B56" s="50">
        <v>500</v>
      </c>
      <c r="C56" s="50">
        <v>0</v>
      </c>
      <c r="D56" s="50">
        <v>0</v>
      </c>
      <c r="E56" s="50">
        <v>0</v>
      </c>
      <c r="F56" s="50">
        <v>0</v>
      </c>
      <c r="G56" s="50">
        <v>0</v>
      </c>
      <c r="H56" s="50">
        <v>0</v>
      </c>
      <c r="I56" s="50">
        <v>0</v>
      </c>
      <c r="J56" s="50">
        <v>0</v>
      </c>
      <c r="K56" s="50">
        <v>0</v>
      </c>
      <c r="L56" s="50">
        <v>0</v>
      </c>
      <c r="M56" s="50">
        <v>0</v>
      </c>
      <c r="N56" s="50">
        <v>0</v>
      </c>
      <c r="O56" s="50">
        <v>0</v>
      </c>
      <c r="P56" s="50">
        <v>0</v>
      </c>
      <c r="Q56" s="50">
        <v>0</v>
      </c>
      <c r="R56" s="50">
        <v>0</v>
      </c>
      <c r="S56" s="50">
        <v>0</v>
      </c>
      <c r="T56" s="50">
        <v>0</v>
      </c>
      <c r="U56" s="50">
        <v>0</v>
      </c>
      <c r="V56" s="50">
        <v>0</v>
      </c>
      <c r="W56" s="50">
        <v>0</v>
      </c>
      <c r="X56" s="50">
        <v>0</v>
      </c>
      <c r="Y56" s="50">
        <v>0</v>
      </c>
      <c r="Z56" s="50">
        <v>0</v>
      </c>
      <c r="AA56" s="50">
        <v>0</v>
      </c>
      <c r="AB56" s="50">
        <v>0</v>
      </c>
      <c r="AC56" s="50">
        <v>0</v>
      </c>
      <c r="AD56" s="50">
        <v>0</v>
      </c>
    </row>
    <row r="57" spans="1:30" x14ac:dyDescent="0.25">
      <c r="A57" s="50">
        <f t="shared" si="5"/>
        <v>56</v>
      </c>
      <c r="B57" s="50">
        <v>331</v>
      </c>
      <c r="C57" s="50">
        <v>75.593999999999994</v>
      </c>
      <c r="D57" s="50">
        <v>85.706999999999994</v>
      </c>
      <c r="E57" s="50">
        <v>92.313000000000002</v>
      </c>
      <c r="F57" s="50">
        <v>97.692999999999998</v>
      </c>
      <c r="G57" s="50">
        <v>100.126</v>
      </c>
      <c r="H57" s="50">
        <v>106.967</v>
      </c>
      <c r="I57" s="50">
        <v>123.512</v>
      </c>
      <c r="J57" s="50">
        <v>131.99799999999999</v>
      </c>
      <c r="K57" s="50">
        <v>143.001</v>
      </c>
      <c r="L57" s="50">
        <v>152.173</v>
      </c>
      <c r="M57" s="50">
        <v>160.566</v>
      </c>
      <c r="N57" s="50">
        <v>174.58699999999999</v>
      </c>
      <c r="O57" s="50">
        <v>168.71799999999999</v>
      </c>
      <c r="P57" s="50">
        <v>170.369</v>
      </c>
      <c r="Q57" s="50">
        <v>175.6</v>
      </c>
      <c r="R57" s="50">
        <v>203.30199999999999</v>
      </c>
      <c r="S57" s="50">
        <v>209.94900000000001</v>
      </c>
      <c r="T57" s="50">
        <v>174.66499999999999</v>
      </c>
      <c r="U57" s="50">
        <v>186.447</v>
      </c>
      <c r="V57" s="50">
        <v>199.989</v>
      </c>
      <c r="W57" s="50">
        <v>211.31299999999999</v>
      </c>
      <c r="X57" s="50">
        <v>219.24</v>
      </c>
      <c r="Y57" s="50">
        <v>193.23</v>
      </c>
      <c r="Z57" s="50">
        <v>203.084</v>
      </c>
      <c r="AA57" s="50">
        <v>143.90100000000001</v>
      </c>
      <c r="AB57" s="50">
        <v>136.148</v>
      </c>
      <c r="AC57" s="50">
        <v>164.52799999999999</v>
      </c>
      <c r="AD57" s="50">
        <v>158.809</v>
      </c>
    </row>
    <row r="58" spans="1:30" x14ac:dyDescent="0.25">
      <c r="A58" s="50">
        <f t="shared" si="5"/>
        <v>57</v>
      </c>
      <c r="B58" s="50">
        <v>331</v>
      </c>
      <c r="C58" s="50">
        <v>9.9550000000000001</v>
      </c>
      <c r="D58" s="50">
        <v>12.551</v>
      </c>
      <c r="E58" s="50">
        <v>12.13</v>
      </c>
      <c r="F58" s="50">
        <v>12.122</v>
      </c>
      <c r="G58" s="50">
        <v>13.461</v>
      </c>
      <c r="H58" s="50">
        <v>15.205</v>
      </c>
      <c r="I58" s="50">
        <v>17.867999999999999</v>
      </c>
      <c r="J58" s="50">
        <v>19.702999999999999</v>
      </c>
      <c r="K58" s="50">
        <v>21.981999999999999</v>
      </c>
      <c r="L58" s="50">
        <v>22.347000000000001</v>
      </c>
      <c r="M58" s="50">
        <v>24.593</v>
      </c>
      <c r="N58" s="50">
        <v>28.007000000000001</v>
      </c>
      <c r="O58" s="50">
        <v>28.792000000000002</v>
      </c>
      <c r="P58" s="50">
        <v>30.876000000000001</v>
      </c>
      <c r="Q58" s="50">
        <v>35.116999999999997</v>
      </c>
      <c r="R58" s="50">
        <v>41.237000000000002</v>
      </c>
      <c r="S58" s="50">
        <v>41.197000000000003</v>
      </c>
      <c r="T58" s="50">
        <v>40.758000000000003</v>
      </c>
      <c r="U58" s="50">
        <v>43.204000000000001</v>
      </c>
      <c r="V58" s="50">
        <v>45.924999999999997</v>
      </c>
      <c r="W58" s="50">
        <v>50.96</v>
      </c>
      <c r="X58" s="50">
        <v>53.222000000000001</v>
      </c>
      <c r="Y58" s="50">
        <v>45.021000000000001</v>
      </c>
      <c r="Z58" s="50">
        <v>44.844999999999999</v>
      </c>
      <c r="AA58" s="50">
        <v>34.847999999999999</v>
      </c>
      <c r="AB58" s="50">
        <v>32.095999999999997</v>
      </c>
      <c r="AC58" s="50">
        <v>39.860999999999997</v>
      </c>
      <c r="AD58" s="50">
        <v>36.917000000000002</v>
      </c>
    </row>
    <row r="59" spans="1:30" x14ac:dyDescent="0.25">
      <c r="A59" s="50">
        <f t="shared" si="5"/>
        <v>58</v>
      </c>
      <c r="B59" s="50">
        <v>332</v>
      </c>
      <c r="C59" s="50">
        <v>1.7709999999999999</v>
      </c>
      <c r="D59" s="50">
        <v>2.2490000000000001</v>
      </c>
      <c r="E59" s="50">
        <v>2.2570000000000001</v>
      </c>
      <c r="F59" s="50">
        <v>2.2170000000000001</v>
      </c>
      <c r="G59" s="50">
        <v>2.6549999999999998</v>
      </c>
      <c r="H59" s="50">
        <v>2.4529999999999998</v>
      </c>
      <c r="I59" s="50">
        <v>2.8679999999999999</v>
      </c>
      <c r="J59" s="50">
        <v>3.3170000000000002</v>
      </c>
      <c r="K59" s="50">
        <v>4.1529999999999996</v>
      </c>
      <c r="L59" s="50">
        <v>4.242</v>
      </c>
      <c r="M59" s="50">
        <v>4.3129999999999997</v>
      </c>
      <c r="N59" s="50">
        <v>4.5880000000000001</v>
      </c>
      <c r="O59" s="50">
        <v>4.5250000000000004</v>
      </c>
      <c r="P59" s="50">
        <v>4.3810000000000002</v>
      </c>
      <c r="Q59" s="50">
        <v>4.2919999999999998</v>
      </c>
      <c r="R59" s="50">
        <v>5.1589999999999998</v>
      </c>
      <c r="S59" s="50">
        <v>4.9669999999999996</v>
      </c>
      <c r="T59" s="50">
        <v>4.9859999999999998</v>
      </c>
      <c r="U59" s="50">
        <v>5.0579999999999998</v>
      </c>
      <c r="V59" s="50">
        <v>5.391</v>
      </c>
      <c r="W59" s="50">
        <v>5.1369999999999996</v>
      </c>
      <c r="X59" s="50">
        <v>5.673</v>
      </c>
      <c r="Y59" s="50">
        <v>5.25</v>
      </c>
      <c r="Z59" s="50">
        <v>5.2830000000000004</v>
      </c>
      <c r="AA59" s="50">
        <v>4.4489999999999998</v>
      </c>
      <c r="AB59" s="50">
        <v>4.2779999999999996</v>
      </c>
      <c r="AC59" s="50">
        <v>5.5810000000000004</v>
      </c>
      <c r="AD59" s="50">
        <v>5.55</v>
      </c>
    </row>
    <row r="60" spans="1:30" x14ac:dyDescent="0.25">
      <c r="A60" s="50">
        <f t="shared" si="5"/>
        <v>59</v>
      </c>
      <c r="B60" s="50">
        <v>331</v>
      </c>
      <c r="C60" s="50">
        <v>79.572000000000003</v>
      </c>
      <c r="D60" s="50">
        <v>103.524</v>
      </c>
      <c r="E60" s="50">
        <v>108.59099999999999</v>
      </c>
      <c r="F60" s="50">
        <v>102.27500000000001</v>
      </c>
      <c r="G60" s="50">
        <v>113.375</v>
      </c>
      <c r="H60" s="50">
        <v>122.45099999999999</v>
      </c>
      <c r="I60" s="50">
        <v>126.248</v>
      </c>
      <c r="J60" s="50">
        <v>138.21100000000001</v>
      </c>
      <c r="K60" s="50">
        <v>141.92699999999999</v>
      </c>
      <c r="L60" s="50">
        <v>159.62799999999999</v>
      </c>
      <c r="M60" s="50">
        <v>155.16499999999999</v>
      </c>
      <c r="N60" s="50">
        <v>179.54400000000001</v>
      </c>
      <c r="O60" s="50">
        <v>170.51900000000001</v>
      </c>
      <c r="P60" s="50">
        <v>158.233</v>
      </c>
      <c r="Q60" s="50">
        <v>175.767</v>
      </c>
      <c r="R60" s="50">
        <v>217.42400000000001</v>
      </c>
      <c r="S60" s="50">
        <v>255.91499999999999</v>
      </c>
      <c r="T60" s="50">
        <v>211.09200000000001</v>
      </c>
      <c r="U60" s="50">
        <v>225.01599999999999</v>
      </c>
      <c r="V60" s="50">
        <v>244.68600000000001</v>
      </c>
      <c r="W60" s="50">
        <v>250.74100000000001</v>
      </c>
      <c r="X60" s="50">
        <v>261.19400000000002</v>
      </c>
      <c r="Y60" s="50">
        <v>262.09899999999999</v>
      </c>
      <c r="Z60" s="50">
        <v>256.62900000000002</v>
      </c>
      <c r="AA60" s="50">
        <v>177.24299999999999</v>
      </c>
      <c r="AB60" s="50">
        <v>180.39099999999999</v>
      </c>
      <c r="AC60" s="50">
        <v>216.38800000000001</v>
      </c>
      <c r="AD60" s="50">
        <v>189.797</v>
      </c>
    </row>
    <row r="61" spans="1:30" x14ac:dyDescent="0.25">
      <c r="A61" s="50">
        <f t="shared" si="5"/>
        <v>60</v>
      </c>
      <c r="B61" s="50">
        <v>331</v>
      </c>
      <c r="C61" s="50">
        <v>27.506</v>
      </c>
      <c r="D61" s="50">
        <v>29.584</v>
      </c>
      <c r="E61" s="50">
        <v>29.427</v>
      </c>
      <c r="F61" s="50">
        <v>32.067999999999998</v>
      </c>
      <c r="G61" s="50">
        <v>35.143000000000001</v>
      </c>
      <c r="H61" s="50">
        <v>33.347999999999999</v>
      </c>
      <c r="I61" s="50">
        <v>38.042999999999999</v>
      </c>
      <c r="J61" s="50">
        <v>47.103000000000002</v>
      </c>
      <c r="K61" s="50">
        <v>58.756999999999998</v>
      </c>
      <c r="L61" s="50">
        <v>51.591000000000001</v>
      </c>
      <c r="M61" s="50">
        <v>57.6</v>
      </c>
      <c r="N61" s="50">
        <v>58.320999999999998</v>
      </c>
      <c r="O61" s="50">
        <v>70.078000000000003</v>
      </c>
      <c r="P61" s="50">
        <v>62.877000000000002</v>
      </c>
      <c r="Q61" s="50">
        <v>65.265000000000001</v>
      </c>
      <c r="R61" s="50">
        <v>69.960999999999999</v>
      </c>
      <c r="S61" s="50">
        <v>71.222999999999999</v>
      </c>
      <c r="T61" s="50">
        <v>63.484999999999999</v>
      </c>
      <c r="U61" s="50">
        <v>72.616</v>
      </c>
      <c r="V61" s="50">
        <v>71.122</v>
      </c>
      <c r="W61" s="50">
        <v>73.494</v>
      </c>
      <c r="X61" s="50">
        <v>76.918999999999997</v>
      </c>
      <c r="Y61" s="50">
        <v>75.542000000000002</v>
      </c>
      <c r="Z61" s="50">
        <v>76.450999999999993</v>
      </c>
      <c r="AA61" s="50">
        <v>64.421999999999997</v>
      </c>
      <c r="AB61" s="50">
        <v>61.829000000000001</v>
      </c>
      <c r="AC61" s="50">
        <v>69.247</v>
      </c>
      <c r="AD61" s="50">
        <v>68.507999999999996</v>
      </c>
    </row>
    <row r="62" spans="1:30" x14ac:dyDescent="0.25">
      <c r="A62" s="50">
        <f t="shared" si="5"/>
        <v>61</v>
      </c>
      <c r="B62" s="50">
        <v>332</v>
      </c>
      <c r="C62" s="50">
        <v>2.1560000000000001</v>
      </c>
      <c r="D62" s="50">
        <v>2.3679999999999999</v>
      </c>
      <c r="E62" s="50">
        <v>2.4359999999999999</v>
      </c>
      <c r="F62" s="50">
        <v>2.641</v>
      </c>
      <c r="G62" s="50">
        <v>2.6890000000000001</v>
      </c>
      <c r="H62" s="50">
        <v>2.76</v>
      </c>
      <c r="I62" s="50">
        <v>3.0059999999999998</v>
      </c>
      <c r="J62" s="50">
        <v>3.2589999999999999</v>
      </c>
      <c r="K62" s="50">
        <v>3.5249999999999999</v>
      </c>
      <c r="L62" s="50">
        <v>3.927</v>
      </c>
      <c r="M62" s="50">
        <v>4.6230000000000002</v>
      </c>
      <c r="N62" s="50">
        <v>5.0330000000000004</v>
      </c>
      <c r="O62" s="50">
        <v>5.548</v>
      </c>
      <c r="P62" s="50">
        <v>5.8109999999999999</v>
      </c>
      <c r="Q62" s="50">
        <v>6.1180000000000003</v>
      </c>
      <c r="R62" s="50">
        <v>6.5170000000000003</v>
      </c>
      <c r="S62" s="50">
        <v>6.4930000000000003</v>
      </c>
      <c r="T62" s="50">
        <v>6.2919999999999998</v>
      </c>
      <c r="U62" s="50">
        <v>7.0250000000000004</v>
      </c>
      <c r="V62" s="50">
        <v>7.476</v>
      </c>
      <c r="W62" s="50">
        <v>7.5919999999999996</v>
      </c>
      <c r="X62" s="50">
        <v>7.7009999999999996</v>
      </c>
      <c r="Y62" s="50">
        <v>7.3460000000000001</v>
      </c>
      <c r="Z62" s="50">
        <v>7.4509999999999996</v>
      </c>
      <c r="AA62" s="50">
        <v>8.202</v>
      </c>
      <c r="AB62" s="50">
        <v>8.2390000000000008</v>
      </c>
      <c r="AC62" s="50">
        <v>8.5009999999999994</v>
      </c>
      <c r="AD62" s="50">
        <v>7.9729999999999999</v>
      </c>
    </row>
    <row r="63" spans="1:30" x14ac:dyDescent="0.25">
      <c r="A63" s="50">
        <f t="shared" si="5"/>
        <v>62</v>
      </c>
      <c r="B63" s="50">
        <v>332</v>
      </c>
      <c r="C63" s="50">
        <v>7.8369999999999997</v>
      </c>
      <c r="D63" s="50">
        <v>7.8</v>
      </c>
      <c r="E63" s="50">
        <v>8.3800000000000008</v>
      </c>
      <c r="F63" s="50">
        <v>8.9529999999999994</v>
      </c>
      <c r="G63" s="50">
        <v>9.0250000000000004</v>
      </c>
      <c r="H63" s="50">
        <v>9.6010000000000009</v>
      </c>
      <c r="I63" s="50">
        <v>10.635</v>
      </c>
      <c r="J63" s="50">
        <v>10.884</v>
      </c>
      <c r="K63" s="50">
        <v>11.553000000000001</v>
      </c>
      <c r="L63" s="50">
        <v>14.191000000000001</v>
      </c>
      <c r="M63" s="50">
        <v>14.933999999999999</v>
      </c>
      <c r="N63" s="50">
        <v>16.097999999999999</v>
      </c>
      <c r="O63" s="50">
        <v>18.847999999999999</v>
      </c>
      <c r="P63" s="50">
        <v>17.954000000000001</v>
      </c>
      <c r="Q63" s="50">
        <v>18.971</v>
      </c>
      <c r="R63" s="50">
        <v>19.332999999999998</v>
      </c>
      <c r="S63" s="50">
        <v>19.632999999999999</v>
      </c>
      <c r="T63" s="50">
        <v>19.991</v>
      </c>
      <c r="U63" s="50">
        <v>20.536999999999999</v>
      </c>
      <c r="V63" s="50">
        <v>20.710999999999999</v>
      </c>
      <c r="W63" s="50">
        <v>20.088999999999999</v>
      </c>
      <c r="X63" s="50">
        <v>20.161000000000001</v>
      </c>
      <c r="Y63" s="50">
        <v>20.007000000000001</v>
      </c>
      <c r="Z63" s="50">
        <v>19.969000000000001</v>
      </c>
      <c r="AA63" s="50">
        <v>22.509</v>
      </c>
      <c r="AB63" s="50">
        <v>19.760000000000002</v>
      </c>
      <c r="AC63" s="50">
        <v>19.606999999999999</v>
      </c>
      <c r="AD63" s="50">
        <v>19.574999999999999</v>
      </c>
    </row>
    <row r="64" spans="1:30" x14ac:dyDescent="0.25">
      <c r="A64" s="50">
        <f t="shared" si="5"/>
        <v>63</v>
      </c>
      <c r="B64" s="50">
        <v>332</v>
      </c>
      <c r="C64" s="50">
        <v>1.726</v>
      </c>
      <c r="D64" s="50">
        <v>2.2029999999999998</v>
      </c>
      <c r="E64" s="50">
        <v>2.073</v>
      </c>
      <c r="F64" s="50">
        <v>1.875</v>
      </c>
      <c r="G64" s="50">
        <v>1.911</v>
      </c>
      <c r="H64" s="50">
        <v>2.0840000000000001</v>
      </c>
      <c r="I64" s="50">
        <v>2.411</v>
      </c>
      <c r="J64" s="50">
        <v>2.512</v>
      </c>
      <c r="K64" s="50">
        <v>3.0910000000000002</v>
      </c>
      <c r="L64" s="50">
        <v>4.7619999999999996</v>
      </c>
      <c r="M64" s="50">
        <v>5.1550000000000002</v>
      </c>
      <c r="N64" s="50">
        <v>5.5739999999999998</v>
      </c>
      <c r="O64" s="50">
        <v>5.2389999999999999</v>
      </c>
      <c r="P64" s="50">
        <v>4.8890000000000002</v>
      </c>
      <c r="Q64" s="50">
        <v>5.625</v>
      </c>
      <c r="R64" s="50">
        <v>6.375</v>
      </c>
      <c r="S64" s="50">
        <v>6.274</v>
      </c>
      <c r="T64" s="50">
        <v>5.2</v>
      </c>
      <c r="U64" s="50">
        <v>5.5670000000000002</v>
      </c>
      <c r="V64" s="50">
        <v>5.6669999999999998</v>
      </c>
      <c r="W64" s="50">
        <v>5.6790000000000003</v>
      </c>
      <c r="X64" s="50">
        <v>5.5750000000000002</v>
      </c>
      <c r="Y64" s="50">
        <v>5.45</v>
      </c>
      <c r="Z64" s="50">
        <v>5.4649999999999999</v>
      </c>
      <c r="AA64" s="50">
        <v>4.2</v>
      </c>
      <c r="AB64" s="50">
        <v>4.0430000000000001</v>
      </c>
      <c r="AC64" s="50">
        <v>5.1340000000000003</v>
      </c>
      <c r="AD64" s="50">
        <v>5.0730000000000004</v>
      </c>
    </row>
    <row r="65" spans="1:30" x14ac:dyDescent="0.25">
      <c r="A65" s="50">
        <f t="shared" si="5"/>
        <v>64</v>
      </c>
      <c r="B65" s="50">
        <v>332</v>
      </c>
      <c r="C65" s="50">
        <v>3.45</v>
      </c>
      <c r="D65" s="50">
        <v>4.2329999999999997</v>
      </c>
      <c r="E65" s="50">
        <v>4.3140000000000001</v>
      </c>
      <c r="F65" s="50">
        <v>4.0750000000000002</v>
      </c>
      <c r="G65" s="50">
        <v>4.5350000000000001</v>
      </c>
      <c r="H65" s="50">
        <v>4.907</v>
      </c>
      <c r="I65" s="50">
        <v>5.3369999999999997</v>
      </c>
      <c r="J65" s="50">
        <v>5.8</v>
      </c>
      <c r="K65" s="50">
        <v>6.548</v>
      </c>
      <c r="L65" s="50">
        <v>9.8689999999999998</v>
      </c>
      <c r="M65" s="50">
        <v>11.65</v>
      </c>
      <c r="N65" s="50">
        <v>12.872</v>
      </c>
      <c r="O65" s="50">
        <v>12.558999999999999</v>
      </c>
      <c r="P65" s="50">
        <v>13.222</v>
      </c>
      <c r="Q65" s="50">
        <v>15.000999999999999</v>
      </c>
      <c r="R65" s="50">
        <v>15.612</v>
      </c>
      <c r="S65" s="50">
        <v>14.444000000000001</v>
      </c>
      <c r="T65" s="50">
        <v>13.754</v>
      </c>
      <c r="U65" s="50">
        <v>15.618</v>
      </c>
      <c r="V65" s="50">
        <v>15.727</v>
      </c>
      <c r="W65" s="50">
        <v>15.717000000000001</v>
      </c>
      <c r="X65" s="50">
        <v>15.36</v>
      </c>
      <c r="Y65" s="50">
        <v>13.67</v>
      </c>
      <c r="Z65" s="50">
        <v>13.579000000000001</v>
      </c>
      <c r="AA65" s="50">
        <v>13.17</v>
      </c>
      <c r="AB65" s="50">
        <v>14.967000000000001</v>
      </c>
      <c r="AC65" s="50">
        <v>24.562000000000001</v>
      </c>
      <c r="AD65" s="50">
        <v>17.606000000000002</v>
      </c>
    </row>
    <row r="66" spans="1:30" x14ac:dyDescent="0.25">
      <c r="A66" s="50">
        <f t="shared" si="5"/>
        <v>65</v>
      </c>
      <c r="B66" s="50">
        <v>332</v>
      </c>
      <c r="C66" s="50">
        <v>8.8989999999999991</v>
      </c>
      <c r="D66" s="50">
        <v>10.327999999999999</v>
      </c>
      <c r="E66" s="50">
        <v>10.315</v>
      </c>
      <c r="F66" s="50">
        <v>10.41</v>
      </c>
      <c r="G66" s="50">
        <v>11.917999999999999</v>
      </c>
      <c r="H66" s="50">
        <v>12.348000000000001</v>
      </c>
      <c r="I66" s="50">
        <v>13.651</v>
      </c>
      <c r="J66" s="50">
        <v>15.613</v>
      </c>
      <c r="K66" s="50">
        <v>16.882999999999999</v>
      </c>
      <c r="L66" s="50">
        <v>17.149000000000001</v>
      </c>
      <c r="M66" s="50">
        <v>19.353000000000002</v>
      </c>
      <c r="N66" s="50">
        <v>22.263999999999999</v>
      </c>
      <c r="O66" s="50">
        <v>25.43</v>
      </c>
      <c r="P66" s="50">
        <v>25.416</v>
      </c>
      <c r="Q66" s="50">
        <v>24.975999999999999</v>
      </c>
      <c r="R66" s="50">
        <v>27.702000000000002</v>
      </c>
      <c r="S66" s="50">
        <v>28.241</v>
      </c>
      <c r="T66" s="50">
        <v>28.353999999999999</v>
      </c>
      <c r="U66" s="50">
        <v>29.794</v>
      </c>
      <c r="V66" s="50">
        <v>31.111000000000001</v>
      </c>
      <c r="W66" s="50">
        <v>31.02</v>
      </c>
      <c r="X66" s="50">
        <v>30.445</v>
      </c>
      <c r="Y66" s="50">
        <v>29.641999999999999</v>
      </c>
      <c r="Z66" s="50">
        <v>30.431000000000001</v>
      </c>
      <c r="AA66" s="50">
        <v>29.545000000000002</v>
      </c>
      <c r="AB66" s="50">
        <v>28.545999999999999</v>
      </c>
      <c r="AC66" s="50">
        <v>33.719000000000001</v>
      </c>
      <c r="AD66" s="50">
        <v>33.866</v>
      </c>
    </row>
    <row r="67" spans="1:30" x14ac:dyDescent="0.25">
      <c r="A67" s="50">
        <f t="shared" si="5"/>
        <v>66</v>
      </c>
      <c r="B67" s="50">
        <v>333</v>
      </c>
      <c r="C67" s="50">
        <v>1.7370000000000001</v>
      </c>
      <c r="D67" s="50">
        <v>2.0099999999999998</v>
      </c>
      <c r="E67" s="50">
        <v>1.9450000000000001</v>
      </c>
      <c r="F67" s="50">
        <v>2.0339999999999998</v>
      </c>
      <c r="G67" s="50">
        <v>2.5419999999999998</v>
      </c>
      <c r="H67" s="50">
        <v>2.8079999999999998</v>
      </c>
      <c r="I67" s="50">
        <v>3.194</v>
      </c>
      <c r="J67" s="50">
        <v>3.5379999999999998</v>
      </c>
      <c r="K67" s="50">
        <v>4.0359999999999996</v>
      </c>
      <c r="L67" s="50">
        <v>4.1589999999999998</v>
      </c>
      <c r="M67" s="50">
        <v>4.63</v>
      </c>
      <c r="N67" s="50">
        <v>5.5309999999999997</v>
      </c>
      <c r="O67" s="50">
        <v>5.4560000000000004</v>
      </c>
      <c r="P67" s="50">
        <v>5.8310000000000004</v>
      </c>
      <c r="Q67" s="50">
        <v>6.2169999999999996</v>
      </c>
      <c r="R67" s="50">
        <v>7.0419999999999998</v>
      </c>
      <c r="S67" s="50">
        <v>6.9640000000000004</v>
      </c>
      <c r="T67" s="50">
        <v>7.1859999999999999</v>
      </c>
      <c r="U67" s="50">
        <v>7.899</v>
      </c>
      <c r="V67" s="50">
        <v>8.0250000000000004</v>
      </c>
      <c r="W67" s="50">
        <v>8.3629999999999995</v>
      </c>
      <c r="X67" s="50">
        <v>8.2929999999999993</v>
      </c>
      <c r="Y67" s="50">
        <v>8.3460000000000001</v>
      </c>
      <c r="Z67" s="50">
        <v>8.8620000000000001</v>
      </c>
      <c r="AA67" s="50">
        <v>8.2330000000000005</v>
      </c>
      <c r="AB67" s="50">
        <v>7.6589999999999998</v>
      </c>
      <c r="AC67" s="50">
        <v>8.8030000000000008</v>
      </c>
      <c r="AD67" s="50">
        <v>8.4</v>
      </c>
    </row>
    <row r="68" spans="1:30" x14ac:dyDescent="0.25">
      <c r="A68" s="50">
        <f t="shared" ref="A68:A131" si="26">A67+1</f>
        <v>67</v>
      </c>
      <c r="B68" s="50">
        <v>333</v>
      </c>
      <c r="C68" s="50">
        <v>1.972</v>
      </c>
      <c r="D68" s="50">
        <v>2.218</v>
      </c>
      <c r="E68" s="50">
        <v>1.87</v>
      </c>
      <c r="F68" s="50">
        <v>2.0920000000000001</v>
      </c>
      <c r="G68" s="50">
        <v>2.3580000000000001</v>
      </c>
      <c r="H68" s="50">
        <v>2.6269999999999998</v>
      </c>
      <c r="I68" s="50">
        <v>2.9279999999999999</v>
      </c>
      <c r="J68" s="50">
        <v>3.1150000000000002</v>
      </c>
      <c r="K68" s="50">
        <v>3.76</v>
      </c>
      <c r="L68" s="50">
        <v>3.6</v>
      </c>
      <c r="M68" s="50">
        <v>3.8660000000000001</v>
      </c>
      <c r="N68" s="50">
        <v>3.9780000000000002</v>
      </c>
      <c r="O68" s="50">
        <v>5.0330000000000004</v>
      </c>
      <c r="P68" s="50">
        <v>4.8419999999999996</v>
      </c>
      <c r="Q68" s="50">
        <v>5.1349999999999998</v>
      </c>
      <c r="R68" s="50">
        <v>6.2439999999999998</v>
      </c>
      <c r="S68" s="50">
        <v>6.3049999999999997</v>
      </c>
      <c r="T68" s="50">
        <v>6.6740000000000004</v>
      </c>
      <c r="U68" s="50">
        <v>6.7460000000000004</v>
      </c>
      <c r="V68" s="50">
        <v>7.1310000000000002</v>
      </c>
      <c r="W68" s="50">
        <v>6.8150000000000004</v>
      </c>
      <c r="X68" s="50">
        <v>7.415</v>
      </c>
      <c r="Y68" s="50">
        <v>7.1109999999999998</v>
      </c>
      <c r="Z68" s="50">
        <v>7.0140000000000002</v>
      </c>
      <c r="AA68" s="50">
        <v>6.2130000000000001</v>
      </c>
      <c r="AB68" s="50">
        <v>5.5830000000000002</v>
      </c>
      <c r="AC68" s="50">
        <v>5.8739999999999997</v>
      </c>
      <c r="AD68" s="50">
        <v>5.3040000000000003</v>
      </c>
    </row>
    <row r="69" spans="1:30" x14ac:dyDescent="0.25">
      <c r="A69" s="50">
        <f t="shared" si="26"/>
        <v>68</v>
      </c>
      <c r="B69" s="50">
        <v>333</v>
      </c>
      <c r="C69" s="50">
        <v>4.1559999999999997</v>
      </c>
      <c r="D69" s="50">
        <v>5.2610000000000001</v>
      </c>
      <c r="E69" s="50">
        <v>4.8929999999999998</v>
      </c>
      <c r="F69" s="50">
        <v>4.9539999999999997</v>
      </c>
      <c r="G69" s="50">
        <v>5.8040000000000003</v>
      </c>
      <c r="H69" s="50">
        <v>6.0970000000000004</v>
      </c>
      <c r="I69" s="50">
        <v>7.1890000000000001</v>
      </c>
      <c r="J69" s="50">
        <v>7.7450000000000001</v>
      </c>
      <c r="K69" s="50">
        <v>7.96</v>
      </c>
      <c r="L69" s="50">
        <v>8.0519999999999996</v>
      </c>
      <c r="M69" s="50">
        <v>8.4239999999999995</v>
      </c>
      <c r="N69" s="50">
        <v>9.24</v>
      </c>
      <c r="O69" s="50">
        <v>9.4789999999999992</v>
      </c>
      <c r="P69" s="50">
        <v>9.5259999999999998</v>
      </c>
      <c r="Q69" s="50">
        <v>10.782</v>
      </c>
      <c r="R69" s="50">
        <v>11.87</v>
      </c>
      <c r="S69" s="50">
        <v>12.282999999999999</v>
      </c>
      <c r="T69" s="50">
        <v>12.874000000000001</v>
      </c>
      <c r="U69" s="50">
        <v>14.573</v>
      </c>
      <c r="V69" s="50">
        <v>14.3</v>
      </c>
      <c r="W69" s="50">
        <v>15.45</v>
      </c>
      <c r="X69" s="50">
        <v>15.971</v>
      </c>
      <c r="Y69" s="50">
        <v>15.97</v>
      </c>
      <c r="Z69" s="50">
        <v>16.696999999999999</v>
      </c>
      <c r="AA69" s="50">
        <v>15.32</v>
      </c>
      <c r="AB69" s="50">
        <v>13.083</v>
      </c>
      <c r="AC69" s="50">
        <v>12.991</v>
      </c>
      <c r="AD69" s="50">
        <v>12.265000000000001</v>
      </c>
    </row>
    <row r="70" spans="1:30" x14ac:dyDescent="0.25">
      <c r="A70" s="50">
        <f t="shared" si="26"/>
        <v>69</v>
      </c>
      <c r="B70" s="50">
        <v>333</v>
      </c>
      <c r="C70" s="50">
        <v>0.85</v>
      </c>
      <c r="D70" s="50">
        <v>1.048</v>
      </c>
      <c r="E70" s="50">
        <v>1.8360000000000001</v>
      </c>
      <c r="F70" s="50">
        <v>1.423</v>
      </c>
      <c r="G70" s="50">
        <v>1.105</v>
      </c>
      <c r="H70" s="50">
        <v>0.877</v>
      </c>
      <c r="I70" s="50">
        <v>0.66500000000000004</v>
      </c>
      <c r="J70" s="50">
        <v>0.67900000000000005</v>
      </c>
      <c r="K70" s="50">
        <v>1.119</v>
      </c>
      <c r="L70" s="50">
        <v>1.89</v>
      </c>
      <c r="M70" s="50">
        <v>2.0779999999999998</v>
      </c>
      <c r="N70" s="50">
        <v>1.986</v>
      </c>
      <c r="O70" s="50">
        <v>2.3919999999999999</v>
      </c>
      <c r="P70" s="50">
        <v>2.726</v>
      </c>
      <c r="Q70" s="50">
        <v>2.6269999999999998</v>
      </c>
      <c r="R70" s="50">
        <v>3.0470000000000002</v>
      </c>
      <c r="S70" s="50">
        <v>2.9449999999999998</v>
      </c>
      <c r="T70" s="50">
        <v>3.1629999999999998</v>
      </c>
      <c r="U70" s="50">
        <v>2.9409999999999998</v>
      </c>
      <c r="V70" s="50">
        <v>2.996</v>
      </c>
      <c r="W70" s="50">
        <v>3.105</v>
      </c>
      <c r="X70" s="50">
        <v>3.2469999999999999</v>
      </c>
      <c r="Y70" s="50">
        <v>3.0590000000000002</v>
      </c>
      <c r="Z70" s="50">
        <v>2.972</v>
      </c>
      <c r="AA70" s="50">
        <v>2.8039999999999998</v>
      </c>
      <c r="AB70" s="50">
        <v>2.5760000000000001</v>
      </c>
      <c r="AC70" s="50">
        <v>2.8069999999999999</v>
      </c>
      <c r="AD70" s="50">
        <v>2.798</v>
      </c>
    </row>
    <row r="71" spans="1:30" x14ac:dyDescent="0.25">
      <c r="A71" s="50">
        <f t="shared" si="26"/>
        <v>70</v>
      </c>
      <c r="B71" s="50">
        <v>333</v>
      </c>
      <c r="C71" s="50">
        <v>4.1970000000000001</v>
      </c>
      <c r="D71" s="50">
        <v>4.8310000000000004</v>
      </c>
      <c r="E71" s="50">
        <v>5.1219999999999999</v>
      </c>
      <c r="F71" s="50">
        <v>5.1589999999999998</v>
      </c>
      <c r="G71" s="50">
        <v>5.8239999999999998</v>
      </c>
      <c r="H71" s="50">
        <v>6.1760000000000002</v>
      </c>
      <c r="I71" s="50">
        <v>6.7220000000000004</v>
      </c>
      <c r="J71" s="50">
        <v>7.6120000000000001</v>
      </c>
      <c r="K71" s="50">
        <v>8.4819999999999993</v>
      </c>
      <c r="L71" s="50">
        <v>9.4239999999999995</v>
      </c>
      <c r="M71" s="50">
        <v>11.471</v>
      </c>
      <c r="N71" s="50">
        <v>11.321</v>
      </c>
      <c r="O71" s="50">
        <v>10.925000000000001</v>
      </c>
      <c r="P71" s="50">
        <v>11.222</v>
      </c>
      <c r="Q71" s="50">
        <v>11.741</v>
      </c>
      <c r="R71" s="50">
        <v>12.416</v>
      </c>
      <c r="S71" s="50">
        <v>12.195</v>
      </c>
      <c r="T71" s="50">
        <v>12.198</v>
      </c>
      <c r="U71" s="50">
        <v>12.44</v>
      </c>
      <c r="V71" s="50">
        <v>12.747</v>
      </c>
      <c r="W71" s="50">
        <v>12.481</v>
      </c>
      <c r="X71" s="50">
        <v>12.750999999999999</v>
      </c>
      <c r="Y71" s="50">
        <v>12.785</v>
      </c>
      <c r="Z71" s="50">
        <v>13.17</v>
      </c>
      <c r="AA71" s="50">
        <v>11.273999999999999</v>
      </c>
      <c r="AB71" s="50">
        <v>9.9619999999999997</v>
      </c>
      <c r="AC71" s="50">
        <v>11.058999999999999</v>
      </c>
      <c r="AD71" s="50">
        <v>11.362</v>
      </c>
    </row>
    <row r="72" spans="1:30" x14ac:dyDescent="0.25">
      <c r="A72" s="50">
        <f t="shared" si="26"/>
        <v>71</v>
      </c>
      <c r="B72" s="50">
        <v>333</v>
      </c>
      <c r="C72" s="50">
        <v>2.774</v>
      </c>
      <c r="D72" s="50">
        <v>3.1360000000000001</v>
      </c>
      <c r="E72" s="50">
        <v>3.3980000000000001</v>
      </c>
      <c r="F72" s="50">
        <v>3.3159999999999998</v>
      </c>
      <c r="G72" s="50">
        <v>3.3849999999999998</v>
      </c>
      <c r="H72" s="50">
        <v>3.4359999999999999</v>
      </c>
      <c r="I72" s="50">
        <v>4.0570000000000004</v>
      </c>
      <c r="J72" s="50">
        <v>4.593</v>
      </c>
      <c r="K72" s="50">
        <v>5.3810000000000002</v>
      </c>
      <c r="L72" s="50">
        <v>5.2030000000000003</v>
      </c>
      <c r="M72" s="50">
        <v>5.7190000000000003</v>
      </c>
      <c r="N72" s="50">
        <v>6.35</v>
      </c>
      <c r="O72" s="50">
        <v>6.4379999999999997</v>
      </c>
      <c r="P72" s="50">
        <v>6.4560000000000004</v>
      </c>
      <c r="Q72" s="50">
        <v>6.8140000000000001</v>
      </c>
      <c r="R72" s="50">
        <v>7.2229999999999999</v>
      </c>
      <c r="S72" s="50">
        <v>7.5410000000000004</v>
      </c>
      <c r="T72" s="50">
        <v>7.7149999999999999</v>
      </c>
      <c r="U72" s="50">
        <v>7.4109999999999996</v>
      </c>
      <c r="V72" s="50">
        <v>6.8680000000000003</v>
      </c>
      <c r="W72" s="50">
        <v>7.1689999999999996</v>
      </c>
      <c r="X72" s="50">
        <v>6.7770000000000001</v>
      </c>
      <c r="Y72" s="50">
        <v>6.5940000000000003</v>
      </c>
      <c r="Z72" s="50">
        <v>6.5869999999999997</v>
      </c>
      <c r="AA72" s="50">
        <v>7.0789999999999997</v>
      </c>
      <c r="AB72" s="50">
        <v>5.9809999999999999</v>
      </c>
      <c r="AC72" s="50">
        <v>6.7549999999999999</v>
      </c>
      <c r="AD72" s="50">
        <v>7.3159999999999998</v>
      </c>
    </row>
    <row r="73" spans="1:30" x14ac:dyDescent="0.25">
      <c r="A73" s="50">
        <f t="shared" si="26"/>
        <v>72</v>
      </c>
      <c r="B73" s="50">
        <v>333</v>
      </c>
      <c r="C73" s="50">
        <v>4.5380000000000003</v>
      </c>
      <c r="D73" s="50">
        <v>5.5209999999999999</v>
      </c>
      <c r="E73" s="50">
        <v>5.5439999999999996</v>
      </c>
      <c r="F73" s="50">
        <v>5.5209999999999999</v>
      </c>
      <c r="G73" s="50">
        <v>6.3360000000000003</v>
      </c>
      <c r="H73" s="50">
        <v>6.8239999999999998</v>
      </c>
      <c r="I73" s="50">
        <v>7.6189999999999998</v>
      </c>
      <c r="J73" s="50">
        <v>8.718</v>
      </c>
      <c r="K73" s="50">
        <v>9.6319999999999997</v>
      </c>
      <c r="L73" s="50">
        <v>9.1029999999999998</v>
      </c>
      <c r="M73" s="50">
        <v>10.119999999999999</v>
      </c>
      <c r="N73" s="50">
        <v>11.222</v>
      </c>
      <c r="O73" s="50">
        <v>12.023999999999999</v>
      </c>
      <c r="P73" s="50">
        <v>11.659000000000001</v>
      </c>
      <c r="Q73" s="50">
        <v>12.593999999999999</v>
      </c>
      <c r="R73" s="50">
        <v>13.920999999999999</v>
      </c>
      <c r="S73" s="50">
        <v>13.689</v>
      </c>
      <c r="T73" s="50">
        <v>14.391999999999999</v>
      </c>
      <c r="U73" s="50">
        <v>14.552</v>
      </c>
      <c r="V73" s="50">
        <v>15.531000000000001</v>
      </c>
      <c r="W73" s="50">
        <v>16.167999999999999</v>
      </c>
      <c r="X73" s="50">
        <v>16.582999999999998</v>
      </c>
      <c r="Y73" s="50">
        <v>16.613</v>
      </c>
      <c r="Z73" s="50">
        <v>16.829999999999998</v>
      </c>
      <c r="AA73" s="50">
        <v>16.189</v>
      </c>
      <c r="AB73" s="50">
        <v>15.381</v>
      </c>
      <c r="AC73" s="50">
        <v>16.928000000000001</v>
      </c>
      <c r="AD73" s="50">
        <v>16.477</v>
      </c>
    </row>
    <row r="74" spans="1:30" x14ac:dyDescent="0.25">
      <c r="A74" s="50">
        <f t="shared" si="26"/>
        <v>73</v>
      </c>
      <c r="B74" s="50">
        <v>333</v>
      </c>
      <c r="C74" s="50">
        <v>1.9930000000000001</v>
      </c>
      <c r="D74" s="50">
        <v>2.508</v>
      </c>
      <c r="E74" s="50">
        <v>2.375</v>
      </c>
      <c r="F74" s="50">
        <v>2.5009999999999999</v>
      </c>
      <c r="G74" s="50">
        <v>2.7530000000000001</v>
      </c>
      <c r="H74" s="50">
        <v>3.18</v>
      </c>
      <c r="I74" s="50">
        <v>3.6749999999999998</v>
      </c>
      <c r="J74" s="50">
        <v>3.903</v>
      </c>
      <c r="K74" s="50">
        <v>4.2409999999999997</v>
      </c>
      <c r="L74" s="50">
        <v>6.7389999999999999</v>
      </c>
      <c r="M74" s="50">
        <v>6.2409999999999997</v>
      </c>
      <c r="N74" s="50">
        <v>6.9569999999999999</v>
      </c>
      <c r="O74" s="50">
        <v>8.093</v>
      </c>
      <c r="P74" s="50">
        <v>8.1310000000000002</v>
      </c>
      <c r="Q74" s="50">
        <v>7.5579999999999998</v>
      </c>
      <c r="R74" s="50">
        <v>8.9359999999999999</v>
      </c>
      <c r="S74" s="50">
        <v>8.0079999999999991</v>
      </c>
      <c r="T74" s="50">
        <v>10.24</v>
      </c>
      <c r="U74" s="50">
        <v>10.218999999999999</v>
      </c>
      <c r="V74" s="50">
        <v>10.192</v>
      </c>
      <c r="W74" s="50">
        <v>11.111000000000001</v>
      </c>
      <c r="X74" s="50">
        <v>10.926</v>
      </c>
      <c r="Y74" s="50">
        <v>11.077999999999999</v>
      </c>
      <c r="Z74" s="50">
        <v>11.021000000000001</v>
      </c>
      <c r="AA74" s="50">
        <v>10.507999999999999</v>
      </c>
      <c r="AB74" s="50">
        <v>10.206</v>
      </c>
      <c r="AC74" s="50">
        <v>10.101000000000001</v>
      </c>
      <c r="AD74" s="50">
        <v>8.9120000000000008</v>
      </c>
    </row>
    <row r="75" spans="1:30" x14ac:dyDescent="0.25">
      <c r="A75" s="50">
        <f t="shared" si="26"/>
        <v>74</v>
      </c>
      <c r="B75" s="50">
        <v>334</v>
      </c>
      <c r="C75" s="50">
        <v>1.6279999999999999</v>
      </c>
      <c r="D75" s="50">
        <v>1.897</v>
      </c>
      <c r="E75" s="50">
        <v>2.2280000000000002</v>
      </c>
      <c r="F75" s="50">
        <v>2.4119999999999999</v>
      </c>
      <c r="G75" s="50">
        <v>2.6339999999999999</v>
      </c>
      <c r="H75" s="50">
        <v>2.726</v>
      </c>
      <c r="I75" s="50">
        <v>3.774</v>
      </c>
      <c r="J75" s="50">
        <v>3.91</v>
      </c>
      <c r="K75" s="50">
        <v>5.3710000000000004</v>
      </c>
      <c r="L75" s="50">
        <v>4.6609999999999996</v>
      </c>
      <c r="M75" s="50">
        <v>5.8550000000000004</v>
      </c>
      <c r="N75" s="50">
        <v>7.899</v>
      </c>
      <c r="O75" s="50">
        <v>8.0150000000000006</v>
      </c>
      <c r="P75" s="50">
        <v>8.3360000000000003</v>
      </c>
      <c r="Q75" s="50">
        <v>9.1340000000000003</v>
      </c>
      <c r="R75" s="50">
        <v>9.7449999999999992</v>
      </c>
      <c r="S75" s="50">
        <v>9.3249999999999993</v>
      </c>
      <c r="T75" s="50">
        <v>10.212</v>
      </c>
      <c r="U75" s="50">
        <v>10.048</v>
      </c>
      <c r="V75" s="50">
        <v>9.5609999999999999</v>
      </c>
      <c r="W75" s="50">
        <v>11.25</v>
      </c>
      <c r="X75" s="50">
        <v>12.488</v>
      </c>
      <c r="Y75" s="50">
        <v>14.19</v>
      </c>
      <c r="Z75" s="50">
        <v>15.537000000000001</v>
      </c>
      <c r="AA75" s="50">
        <v>17.603999999999999</v>
      </c>
      <c r="AB75" s="50">
        <v>20.484999999999999</v>
      </c>
      <c r="AC75" s="50">
        <v>17.396999999999998</v>
      </c>
      <c r="AD75" s="50">
        <v>20.687000000000001</v>
      </c>
    </row>
    <row r="76" spans="1:30" x14ac:dyDescent="0.25">
      <c r="A76" s="50">
        <f t="shared" si="26"/>
        <v>75</v>
      </c>
      <c r="B76" s="50">
        <v>333</v>
      </c>
      <c r="C76" s="50">
        <v>2.286</v>
      </c>
      <c r="D76" s="50">
        <v>2.593</v>
      </c>
      <c r="E76" s="50">
        <v>2.5659999999999998</v>
      </c>
      <c r="F76" s="50">
        <v>2.4569999999999999</v>
      </c>
      <c r="G76" s="50">
        <v>2.6440000000000001</v>
      </c>
      <c r="H76" s="50">
        <v>2.9860000000000002</v>
      </c>
      <c r="I76" s="50">
        <v>3.17</v>
      </c>
      <c r="J76" s="50">
        <v>3.552</v>
      </c>
      <c r="K76" s="50">
        <v>3.996</v>
      </c>
      <c r="L76" s="50">
        <v>4.1760000000000002</v>
      </c>
      <c r="M76" s="50">
        <v>4.5449999999999999</v>
      </c>
      <c r="N76" s="50">
        <v>5.47</v>
      </c>
      <c r="O76" s="50">
        <v>6.2610000000000001</v>
      </c>
      <c r="P76" s="50">
        <v>7.81</v>
      </c>
      <c r="Q76" s="50">
        <v>9.4920000000000009</v>
      </c>
      <c r="R76" s="50">
        <v>10.086</v>
      </c>
      <c r="S76" s="50">
        <v>9.2840000000000007</v>
      </c>
      <c r="T76" s="50">
        <v>8.6289999999999996</v>
      </c>
      <c r="U76" s="50">
        <v>8.5879999999999992</v>
      </c>
      <c r="V76" s="50">
        <v>9.6940000000000008</v>
      </c>
      <c r="W76" s="50">
        <v>10.776</v>
      </c>
      <c r="X76" s="50">
        <v>9.1820000000000004</v>
      </c>
      <c r="Y76" s="50">
        <v>8.5839999999999996</v>
      </c>
      <c r="Z76" s="50">
        <v>9.0239999999999991</v>
      </c>
      <c r="AA76" s="50">
        <v>9.0589999999999993</v>
      </c>
      <c r="AB76" s="50">
        <v>9.3160000000000007</v>
      </c>
      <c r="AC76" s="50">
        <v>10.327999999999999</v>
      </c>
      <c r="AD76" s="50">
        <v>9.9930000000000003</v>
      </c>
    </row>
    <row r="77" spans="1:30" x14ac:dyDescent="0.25">
      <c r="A77" s="50">
        <f t="shared" si="26"/>
        <v>76</v>
      </c>
      <c r="B77" s="50">
        <v>335</v>
      </c>
      <c r="C77" s="50">
        <v>8.32</v>
      </c>
      <c r="D77" s="50">
        <v>11.117000000000001</v>
      </c>
      <c r="E77" s="50">
        <v>10.504</v>
      </c>
      <c r="F77" s="50">
        <v>9.5619999999999994</v>
      </c>
      <c r="G77" s="50">
        <v>11.06</v>
      </c>
      <c r="H77" s="50">
        <v>11.515000000000001</v>
      </c>
      <c r="I77" s="50">
        <v>12.861000000000001</v>
      </c>
      <c r="J77" s="50">
        <v>14.672000000000001</v>
      </c>
      <c r="K77" s="50">
        <v>16.149000000000001</v>
      </c>
      <c r="L77" s="50">
        <v>16.59</v>
      </c>
      <c r="M77" s="50">
        <v>17.677</v>
      </c>
      <c r="N77" s="50">
        <v>19.373000000000001</v>
      </c>
      <c r="O77" s="50">
        <v>20.338999999999999</v>
      </c>
      <c r="P77" s="50">
        <v>20.068000000000001</v>
      </c>
      <c r="Q77" s="50">
        <v>20.736000000000001</v>
      </c>
      <c r="R77" s="50">
        <v>22.097999999999999</v>
      </c>
      <c r="S77" s="50">
        <v>22.026</v>
      </c>
      <c r="T77" s="50">
        <v>19.591999999999999</v>
      </c>
      <c r="U77" s="50">
        <v>18.649000000000001</v>
      </c>
      <c r="V77" s="50">
        <v>19.853999999999999</v>
      </c>
      <c r="W77" s="50">
        <v>20.731999999999999</v>
      </c>
      <c r="X77" s="50">
        <v>22.382999999999999</v>
      </c>
      <c r="Y77" s="50">
        <v>21.141999999999999</v>
      </c>
      <c r="Z77" s="50">
        <v>20.558</v>
      </c>
      <c r="AA77" s="50">
        <v>19.931999999999999</v>
      </c>
      <c r="AB77" s="50">
        <v>19.641999999999999</v>
      </c>
      <c r="AC77" s="50">
        <v>21.228000000000002</v>
      </c>
      <c r="AD77" s="50">
        <v>19.931999999999999</v>
      </c>
    </row>
    <row r="78" spans="1:30" x14ac:dyDescent="0.25">
      <c r="A78" s="50">
        <f t="shared" si="26"/>
        <v>77</v>
      </c>
      <c r="B78" s="50">
        <v>334</v>
      </c>
      <c r="C78" s="50">
        <v>0.76300000000000001</v>
      </c>
      <c r="D78" s="50">
        <v>0.98499999999999999</v>
      </c>
      <c r="E78" s="50">
        <v>0.93700000000000006</v>
      </c>
      <c r="F78" s="50">
        <v>0.88500000000000001</v>
      </c>
      <c r="G78" s="50">
        <v>0.99099999999999999</v>
      </c>
      <c r="H78" s="50">
        <v>0.82199999999999995</v>
      </c>
      <c r="I78" s="50">
        <v>0.86899999999999999</v>
      </c>
      <c r="J78" s="50">
        <v>0.99199999999999999</v>
      </c>
      <c r="K78" s="50">
        <v>1.0820000000000001</v>
      </c>
      <c r="L78" s="50">
        <v>1.2070000000000001</v>
      </c>
      <c r="M78" s="50">
        <v>1.3380000000000001</v>
      </c>
      <c r="N78" s="50">
        <v>1.43</v>
      </c>
      <c r="O78" s="50">
        <v>1.4570000000000001</v>
      </c>
      <c r="P78" s="50">
        <v>1.3759999999999999</v>
      </c>
      <c r="Q78" s="50">
        <v>1.623</v>
      </c>
      <c r="R78" s="50">
        <v>1.7210000000000001</v>
      </c>
      <c r="S78" s="50">
        <v>1.8959999999999999</v>
      </c>
      <c r="T78" s="50">
        <v>2</v>
      </c>
      <c r="U78" s="50">
        <v>1.8169999999999999</v>
      </c>
      <c r="V78" s="50">
        <v>2.0209999999999999</v>
      </c>
      <c r="W78" s="50">
        <v>2.1</v>
      </c>
      <c r="X78" s="50">
        <v>2.4980000000000002</v>
      </c>
      <c r="Y78" s="50">
        <v>2.9049999999999998</v>
      </c>
      <c r="Z78" s="50">
        <v>3.133</v>
      </c>
      <c r="AA78" s="50">
        <v>3.0150000000000001</v>
      </c>
      <c r="AB78" s="50">
        <v>3.2370000000000001</v>
      </c>
      <c r="AC78" s="50">
        <v>3.823</v>
      </c>
      <c r="AD78" s="50">
        <v>3.4220000000000002</v>
      </c>
    </row>
    <row r="79" spans="1:30" x14ac:dyDescent="0.25">
      <c r="A79" s="50">
        <f t="shared" si="26"/>
        <v>78</v>
      </c>
      <c r="B79" s="50">
        <v>335</v>
      </c>
      <c r="C79" s="50">
        <v>4.8479999999999999</v>
      </c>
      <c r="D79" s="50">
        <v>5.4109999999999996</v>
      </c>
      <c r="E79" s="50">
        <v>5.5069999999999997</v>
      </c>
      <c r="F79" s="50">
        <v>5.5439999999999996</v>
      </c>
      <c r="G79" s="50">
        <v>5.9059999999999997</v>
      </c>
      <c r="H79" s="50">
        <v>6.09</v>
      </c>
      <c r="I79" s="50">
        <v>6.52</v>
      </c>
      <c r="J79" s="50">
        <v>6.7249999999999996</v>
      </c>
      <c r="K79" s="50">
        <v>7.367</v>
      </c>
      <c r="L79" s="50">
        <v>7.7320000000000002</v>
      </c>
      <c r="M79" s="50">
        <v>8.4649999999999999</v>
      </c>
      <c r="N79" s="50">
        <v>8.6489999999999991</v>
      </c>
      <c r="O79" s="50">
        <v>8.5229999999999997</v>
      </c>
      <c r="P79" s="50">
        <v>7.7930000000000001</v>
      </c>
      <c r="Q79" s="50">
        <v>8.6359999999999992</v>
      </c>
      <c r="R79" s="50">
        <v>9.3390000000000004</v>
      </c>
      <c r="S79" s="50">
        <v>8.5920000000000005</v>
      </c>
      <c r="T79" s="50">
        <v>8.3659999999999997</v>
      </c>
      <c r="U79" s="50">
        <v>8.68</v>
      </c>
      <c r="V79" s="50">
        <v>9.2569999999999997</v>
      </c>
      <c r="W79" s="50">
        <v>9.3019999999999996</v>
      </c>
      <c r="X79" s="50">
        <v>9.0510000000000002</v>
      </c>
      <c r="Y79" s="50">
        <v>8.484</v>
      </c>
      <c r="Z79" s="50">
        <v>8.16</v>
      </c>
      <c r="AA79" s="50">
        <v>8.35</v>
      </c>
      <c r="AB79" s="50">
        <v>8.2240000000000002</v>
      </c>
      <c r="AC79" s="50">
        <v>8.8520000000000003</v>
      </c>
      <c r="AD79" s="50">
        <v>8.2469999999999999</v>
      </c>
    </row>
    <row r="80" spans="1:30" x14ac:dyDescent="0.25">
      <c r="A80" s="50">
        <f t="shared" si="26"/>
        <v>79</v>
      </c>
      <c r="B80" s="50">
        <v>335</v>
      </c>
      <c r="C80" s="50">
        <v>2.59</v>
      </c>
      <c r="D80" s="50">
        <v>3.0089999999999999</v>
      </c>
      <c r="E80" s="50">
        <v>2.9620000000000002</v>
      </c>
      <c r="F80" s="50">
        <v>3.02</v>
      </c>
      <c r="G80" s="50">
        <v>3.3370000000000002</v>
      </c>
      <c r="H80" s="50">
        <v>3.47</v>
      </c>
      <c r="I80" s="50">
        <v>3.8620000000000001</v>
      </c>
      <c r="J80" s="50">
        <v>4.4660000000000002</v>
      </c>
      <c r="K80" s="50">
        <v>4.9989999999999997</v>
      </c>
      <c r="L80" s="50">
        <v>5.1589999999999998</v>
      </c>
      <c r="M80" s="50">
        <v>5.7149999999999999</v>
      </c>
      <c r="N80" s="50">
        <v>6.452</v>
      </c>
      <c r="O80" s="50">
        <v>6.9640000000000004</v>
      </c>
      <c r="P80" s="50">
        <v>6.8479999999999999</v>
      </c>
      <c r="Q80" s="50">
        <v>7.742</v>
      </c>
      <c r="R80" s="50">
        <v>8.3460000000000001</v>
      </c>
      <c r="S80" s="50">
        <v>7.7859999999999996</v>
      </c>
      <c r="T80" s="50">
        <v>7.5990000000000002</v>
      </c>
      <c r="U80" s="50">
        <v>7.9059999999999997</v>
      </c>
      <c r="V80" s="50">
        <v>7.96</v>
      </c>
      <c r="W80" s="50">
        <v>8.0050000000000008</v>
      </c>
      <c r="X80" s="50">
        <v>7.923</v>
      </c>
      <c r="Y80" s="50">
        <v>7.6180000000000003</v>
      </c>
      <c r="Z80" s="50">
        <v>7.8090000000000002</v>
      </c>
      <c r="AA80" s="50">
        <v>8.6069999999999993</v>
      </c>
      <c r="AB80" s="50">
        <v>9.4</v>
      </c>
      <c r="AC80" s="50">
        <v>8.9469999999999992</v>
      </c>
      <c r="AD80" s="50">
        <v>9.0990000000000002</v>
      </c>
    </row>
    <row r="81" spans="1:30" x14ac:dyDescent="0.25">
      <c r="A81" s="50">
        <f t="shared" si="26"/>
        <v>80</v>
      </c>
      <c r="B81" s="50">
        <v>334</v>
      </c>
      <c r="C81" s="50">
        <v>3.4670000000000001</v>
      </c>
      <c r="D81" s="50">
        <v>4.282</v>
      </c>
      <c r="E81" s="50">
        <v>5.2169999999999996</v>
      </c>
      <c r="F81" s="50">
        <v>6.37</v>
      </c>
      <c r="G81" s="50">
        <v>8.1509999999999998</v>
      </c>
      <c r="H81" s="50">
        <v>10.233000000000001</v>
      </c>
      <c r="I81" s="50">
        <v>10.359</v>
      </c>
      <c r="J81" s="50">
        <v>12.273</v>
      </c>
      <c r="K81" s="50">
        <v>14.815</v>
      </c>
      <c r="L81" s="50">
        <v>15.627000000000001</v>
      </c>
      <c r="M81" s="50">
        <v>18.254000000000001</v>
      </c>
      <c r="N81" s="50">
        <v>19.742000000000001</v>
      </c>
      <c r="O81" s="50">
        <v>19.957000000000001</v>
      </c>
      <c r="P81" s="50">
        <v>20.09</v>
      </c>
      <c r="Q81" s="50">
        <v>20.417999999999999</v>
      </c>
      <c r="R81" s="50">
        <v>20.54</v>
      </c>
      <c r="S81" s="50">
        <v>18.93</v>
      </c>
      <c r="T81" s="50">
        <v>19.117999999999999</v>
      </c>
      <c r="U81" s="50">
        <v>18.079999999999998</v>
      </c>
      <c r="V81" s="50">
        <v>18.960999999999999</v>
      </c>
      <c r="W81" s="50">
        <v>19.795000000000002</v>
      </c>
      <c r="X81" s="50">
        <v>20.172000000000001</v>
      </c>
      <c r="Y81" s="50">
        <v>21.233000000000001</v>
      </c>
      <c r="Z81" s="50">
        <v>22.207999999999998</v>
      </c>
      <c r="AA81" s="50">
        <v>23.289000000000001</v>
      </c>
      <c r="AB81" s="50">
        <v>23.556000000000001</v>
      </c>
      <c r="AC81" s="50">
        <v>26.286000000000001</v>
      </c>
      <c r="AD81" s="50">
        <v>28.353999999999999</v>
      </c>
    </row>
    <row r="82" spans="1:30" x14ac:dyDescent="0.25">
      <c r="A82" s="50">
        <f t="shared" si="26"/>
        <v>81</v>
      </c>
      <c r="B82" s="50">
        <v>334</v>
      </c>
      <c r="C82" s="50">
        <v>3.9609999999999999</v>
      </c>
      <c r="D82" s="50">
        <v>5.3529999999999998</v>
      </c>
      <c r="E82" s="50">
        <v>5.8929999999999998</v>
      </c>
      <c r="F82" s="50">
        <v>6.032</v>
      </c>
      <c r="G82" s="50">
        <v>7.4009999999999998</v>
      </c>
      <c r="H82" s="50">
        <v>7.0359999999999996</v>
      </c>
      <c r="I82" s="50">
        <v>7.6529999999999996</v>
      </c>
      <c r="J82" s="50">
        <v>10.327999999999999</v>
      </c>
      <c r="K82" s="50">
        <v>13.331</v>
      </c>
      <c r="L82" s="50">
        <v>14.273</v>
      </c>
      <c r="M82" s="50">
        <v>15.317</v>
      </c>
      <c r="N82" s="50">
        <v>17.268000000000001</v>
      </c>
      <c r="O82" s="50">
        <v>17.855</v>
      </c>
      <c r="P82" s="50">
        <v>17.637</v>
      </c>
      <c r="Q82" s="50">
        <v>19.718</v>
      </c>
      <c r="R82" s="50">
        <v>20.83</v>
      </c>
      <c r="S82" s="50">
        <v>19.673999999999999</v>
      </c>
      <c r="T82" s="50">
        <v>19.004999999999999</v>
      </c>
      <c r="U82" s="50">
        <v>19.622</v>
      </c>
      <c r="V82" s="50">
        <v>20.489000000000001</v>
      </c>
      <c r="W82" s="50">
        <v>21.475999999999999</v>
      </c>
      <c r="X82" s="50">
        <v>24.399000000000001</v>
      </c>
      <c r="Y82" s="50">
        <v>25.821000000000002</v>
      </c>
      <c r="Z82" s="50">
        <v>28.190999999999999</v>
      </c>
      <c r="AA82" s="50">
        <v>29.809000000000001</v>
      </c>
      <c r="AB82" s="50">
        <v>30.055</v>
      </c>
      <c r="AC82" s="50">
        <v>36.652000000000001</v>
      </c>
      <c r="AD82" s="50">
        <v>36.674999999999997</v>
      </c>
    </row>
    <row r="83" spans="1:30" x14ac:dyDescent="0.25">
      <c r="A83" s="50">
        <f t="shared" si="26"/>
        <v>82</v>
      </c>
      <c r="B83" s="51">
        <v>335</v>
      </c>
      <c r="C83" s="50">
        <v>2.3239999999999998</v>
      </c>
      <c r="D83" s="50">
        <v>2.7810000000000001</v>
      </c>
      <c r="E83" s="50">
        <v>2.7709999999999999</v>
      </c>
      <c r="F83" s="50">
        <v>2.7360000000000002</v>
      </c>
      <c r="G83" s="50">
        <v>3.1190000000000002</v>
      </c>
      <c r="H83" s="50">
        <v>3.2309999999999999</v>
      </c>
      <c r="I83" s="50">
        <v>3.3439999999999999</v>
      </c>
      <c r="J83" s="50">
        <v>3.8220000000000001</v>
      </c>
      <c r="K83" s="50">
        <v>4.6159999999999997</v>
      </c>
      <c r="L83" s="50">
        <v>4.3499999999999996</v>
      </c>
      <c r="M83" s="50">
        <v>4.992</v>
      </c>
      <c r="N83" s="50">
        <v>5.5439999999999996</v>
      </c>
      <c r="O83" s="50">
        <v>5.9160000000000004</v>
      </c>
      <c r="P83" s="50">
        <v>6.35</v>
      </c>
      <c r="Q83" s="50">
        <v>6.8680000000000003</v>
      </c>
      <c r="R83" s="50">
        <v>7.6120000000000001</v>
      </c>
      <c r="S83" s="50">
        <v>7.4450000000000003</v>
      </c>
      <c r="T83" s="50">
        <v>7.3090000000000002</v>
      </c>
      <c r="U83" s="50">
        <v>7.9640000000000004</v>
      </c>
      <c r="V83" s="50">
        <v>8.9459999999999997</v>
      </c>
      <c r="W83" s="50">
        <v>9.5850000000000009</v>
      </c>
      <c r="X83" s="50">
        <v>9.2880000000000003</v>
      </c>
      <c r="Y83" s="50">
        <v>8.4510000000000005</v>
      </c>
      <c r="Z83" s="50">
        <v>8.7029999999999994</v>
      </c>
      <c r="AA83" s="50">
        <v>8.5500000000000007</v>
      </c>
      <c r="AB83" s="50">
        <v>8.6929999999999996</v>
      </c>
      <c r="AC83" s="50">
        <v>9.9879999999999995</v>
      </c>
      <c r="AD83" s="50">
        <v>9.6839999999999993</v>
      </c>
    </row>
    <row r="84" spans="1:30" x14ac:dyDescent="0.25">
      <c r="A84" s="50">
        <f t="shared" si="26"/>
        <v>83</v>
      </c>
      <c r="B84" s="50">
        <v>336</v>
      </c>
      <c r="C84" s="50">
        <v>23.952000000000002</v>
      </c>
      <c r="D84" s="50">
        <v>28.687999999999999</v>
      </c>
      <c r="E84" s="50">
        <v>31.643000000000001</v>
      </c>
      <c r="F84" s="50">
        <v>29.783999999999999</v>
      </c>
      <c r="G84" s="50">
        <v>34.786000000000001</v>
      </c>
      <c r="H84" s="50">
        <v>37.74</v>
      </c>
      <c r="I84" s="50">
        <v>40.023000000000003</v>
      </c>
      <c r="J84" s="50">
        <v>46.536999999999999</v>
      </c>
      <c r="K84" s="50">
        <v>40.866</v>
      </c>
      <c r="L84" s="50">
        <v>43.677</v>
      </c>
      <c r="M84" s="50">
        <v>54.530999999999999</v>
      </c>
      <c r="N84" s="50">
        <v>52.558999999999997</v>
      </c>
      <c r="O84" s="50">
        <v>48.256</v>
      </c>
      <c r="P84" s="50">
        <v>54.654000000000003</v>
      </c>
      <c r="Q84" s="50">
        <v>58.622</v>
      </c>
      <c r="R84" s="50">
        <v>65.685000000000002</v>
      </c>
      <c r="S84" s="50">
        <v>54.564999999999998</v>
      </c>
      <c r="T84" s="50">
        <v>53.585999999999999</v>
      </c>
      <c r="U84" s="50">
        <v>60.545999999999999</v>
      </c>
      <c r="V84" s="50">
        <v>65.790999999999997</v>
      </c>
      <c r="W84" s="50">
        <v>66.852999999999994</v>
      </c>
      <c r="X84" s="50">
        <v>64.59</v>
      </c>
      <c r="Y84" s="50">
        <v>55.545000000000002</v>
      </c>
      <c r="Z84" s="50">
        <v>57.947000000000003</v>
      </c>
      <c r="AA84" s="50">
        <v>53.935000000000002</v>
      </c>
      <c r="AB84" s="50">
        <v>59.332000000000001</v>
      </c>
      <c r="AC84" s="50">
        <v>67.001999999999995</v>
      </c>
      <c r="AD84" s="50">
        <v>68.171999999999997</v>
      </c>
    </row>
    <row r="85" spans="1:30" x14ac:dyDescent="0.25">
      <c r="A85" s="50">
        <f t="shared" si="26"/>
        <v>84</v>
      </c>
      <c r="B85" s="50">
        <v>336</v>
      </c>
      <c r="C85" s="50">
        <v>17.114999999999998</v>
      </c>
      <c r="D85" s="50">
        <v>18.033000000000001</v>
      </c>
      <c r="E85" s="50">
        <v>17.530999999999999</v>
      </c>
      <c r="F85" s="50">
        <v>18.091000000000001</v>
      </c>
      <c r="G85" s="50">
        <v>19.66</v>
      </c>
      <c r="H85" s="50">
        <v>19.946999999999999</v>
      </c>
      <c r="I85" s="50">
        <v>18.899000000000001</v>
      </c>
      <c r="J85" s="50">
        <v>20.131</v>
      </c>
      <c r="K85" s="50">
        <v>24.286999999999999</v>
      </c>
      <c r="L85" s="50">
        <v>28.667999999999999</v>
      </c>
      <c r="M85" s="50">
        <v>31.135000000000002</v>
      </c>
      <c r="N85" s="50">
        <v>34.779000000000003</v>
      </c>
      <c r="O85" s="50">
        <v>31.483000000000001</v>
      </c>
      <c r="P85" s="50">
        <v>29.146000000000001</v>
      </c>
      <c r="Q85" s="50">
        <v>27.596</v>
      </c>
      <c r="R85" s="50">
        <v>28.337</v>
      </c>
      <c r="S85" s="50">
        <v>25.443999999999999</v>
      </c>
      <c r="T85" s="50">
        <v>23.881</v>
      </c>
      <c r="U85" s="50">
        <v>23.277000000000001</v>
      </c>
      <c r="V85" s="50">
        <v>23.956</v>
      </c>
      <c r="W85" s="50">
        <v>25.283000000000001</v>
      </c>
      <c r="X85" s="50">
        <v>27.524999999999999</v>
      </c>
      <c r="Y85" s="50">
        <v>30.135000000000002</v>
      </c>
      <c r="Z85" s="50">
        <v>28.356000000000002</v>
      </c>
      <c r="AA85" s="50">
        <v>29.768999999999998</v>
      </c>
      <c r="AB85" s="50">
        <v>31.271999999999998</v>
      </c>
      <c r="AC85" s="50">
        <v>32.710999999999999</v>
      </c>
      <c r="AD85" s="50">
        <v>33.076000000000001</v>
      </c>
    </row>
    <row r="86" spans="1:30" x14ac:dyDescent="0.25">
      <c r="A86" s="50">
        <f t="shared" si="26"/>
        <v>85</v>
      </c>
      <c r="B86" s="50">
        <v>336</v>
      </c>
      <c r="C86" s="50">
        <v>4.3470000000000004</v>
      </c>
      <c r="D86" s="50">
        <v>4.6399999999999997</v>
      </c>
      <c r="E86" s="50">
        <v>4.59</v>
      </c>
      <c r="F86" s="50">
        <v>4.3689999999999998</v>
      </c>
      <c r="G86" s="50">
        <v>4.9790000000000001</v>
      </c>
      <c r="H86" s="50">
        <v>5.3689999999999998</v>
      </c>
      <c r="I86" s="50">
        <v>6.1550000000000002</v>
      </c>
      <c r="J86" s="50">
        <v>6.7460000000000004</v>
      </c>
      <c r="K86" s="50">
        <v>7.101</v>
      </c>
      <c r="L86" s="50">
        <v>6.8810000000000002</v>
      </c>
      <c r="M86" s="50">
        <v>6.8849999999999998</v>
      </c>
      <c r="N86" s="50">
        <v>7.8879999999999999</v>
      </c>
      <c r="O86" s="50">
        <v>8.8369999999999997</v>
      </c>
      <c r="P86" s="50">
        <v>8.8919999999999995</v>
      </c>
      <c r="Q86" s="50">
        <v>9.8970000000000002</v>
      </c>
      <c r="R86" s="50">
        <v>10.356999999999999</v>
      </c>
      <c r="S86" s="50">
        <v>10.851000000000001</v>
      </c>
      <c r="T86" s="50">
        <v>11.32</v>
      </c>
      <c r="U86" s="50">
        <v>11.553000000000001</v>
      </c>
      <c r="V86" s="50">
        <v>11.129</v>
      </c>
      <c r="W86" s="50">
        <v>11.544</v>
      </c>
      <c r="X86" s="50">
        <v>12.212</v>
      </c>
      <c r="Y86" s="50">
        <v>12.058999999999999</v>
      </c>
      <c r="Z86" s="50">
        <v>11.785</v>
      </c>
      <c r="AA86" s="50">
        <v>10.247</v>
      </c>
      <c r="AB86" s="50">
        <v>8.6739999999999995</v>
      </c>
      <c r="AC86" s="50">
        <v>9.1129999999999995</v>
      </c>
      <c r="AD86" s="50">
        <v>9.3239999999999998</v>
      </c>
    </row>
    <row r="87" spans="1:30" x14ac:dyDescent="0.25">
      <c r="A87" s="50">
        <f t="shared" si="26"/>
        <v>86</v>
      </c>
      <c r="B87" s="50">
        <v>321</v>
      </c>
      <c r="C87" s="50">
        <v>0.191</v>
      </c>
      <c r="D87" s="50">
        <v>0.23599999999999999</v>
      </c>
      <c r="E87" s="50">
        <v>0.221</v>
      </c>
      <c r="F87" s="50">
        <v>0.19600000000000001</v>
      </c>
      <c r="G87" s="50">
        <v>0.217</v>
      </c>
      <c r="H87" s="50">
        <v>0.312</v>
      </c>
      <c r="I87" s="50">
        <v>0.36199999999999999</v>
      </c>
      <c r="J87" s="50">
        <v>0.38100000000000001</v>
      </c>
      <c r="K87" s="50">
        <v>0.372</v>
      </c>
      <c r="L87" s="50">
        <v>0.41099999999999998</v>
      </c>
      <c r="M87" s="50">
        <v>0.57099999999999995</v>
      </c>
      <c r="N87" s="50">
        <v>0.72</v>
      </c>
      <c r="O87" s="50">
        <v>0.95599999999999996</v>
      </c>
      <c r="P87" s="50">
        <v>1.1160000000000001</v>
      </c>
      <c r="Q87" s="50">
        <v>1.431</v>
      </c>
      <c r="R87" s="50">
        <v>1.387</v>
      </c>
      <c r="S87" s="50">
        <v>1.02</v>
      </c>
      <c r="T87" s="50">
        <v>0.79300000000000004</v>
      </c>
      <c r="U87" s="50">
        <v>0.96599999999999997</v>
      </c>
      <c r="V87" s="50">
        <v>1.0209999999999999</v>
      </c>
      <c r="W87" s="50">
        <v>1.0449999999999999</v>
      </c>
      <c r="X87" s="50">
        <v>0.82399999999999995</v>
      </c>
      <c r="Y87" s="50">
        <v>0.77500000000000002</v>
      </c>
      <c r="Z87" s="50">
        <v>0.76</v>
      </c>
      <c r="AA87" s="50">
        <v>0.81599999999999995</v>
      </c>
      <c r="AB87" s="50">
        <v>0.98199999999999998</v>
      </c>
      <c r="AC87" s="50">
        <v>0.93799999999999994</v>
      </c>
      <c r="AD87" s="50">
        <v>0.94799999999999995</v>
      </c>
    </row>
    <row r="88" spans="1:30" x14ac:dyDescent="0.25">
      <c r="A88" s="50">
        <f t="shared" si="26"/>
        <v>87</v>
      </c>
      <c r="B88" s="50">
        <v>334</v>
      </c>
      <c r="C88" s="50">
        <v>2.665</v>
      </c>
      <c r="D88" s="50">
        <v>3.19</v>
      </c>
      <c r="E88" s="50">
        <v>3.589</v>
      </c>
      <c r="F88" s="50">
        <v>4.1870000000000003</v>
      </c>
      <c r="G88" s="50">
        <v>4.3979999999999997</v>
      </c>
      <c r="H88" s="50">
        <v>3.8420000000000001</v>
      </c>
      <c r="I88" s="50">
        <v>4.2450000000000001</v>
      </c>
      <c r="J88" s="50">
        <v>4.5140000000000002</v>
      </c>
      <c r="K88" s="50">
        <v>4.5789999999999997</v>
      </c>
      <c r="L88" s="50">
        <v>4.9409999999999998</v>
      </c>
      <c r="M88" s="50">
        <v>5.8</v>
      </c>
      <c r="N88" s="50">
        <v>6.64</v>
      </c>
      <c r="O88" s="50">
        <v>7.6189999999999998</v>
      </c>
      <c r="P88" s="50">
        <v>7.9020000000000001</v>
      </c>
      <c r="Q88" s="50">
        <v>8.1579999999999995</v>
      </c>
      <c r="R88" s="50">
        <v>9.093</v>
      </c>
      <c r="S88" s="50">
        <v>8.5329999999999995</v>
      </c>
      <c r="T88" s="50">
        <v>9.2230000000000008</v>
      </c>
      <c r="U88" s="50">
        <v>9.3759999999999994</v>
      </c>
      <c r="V88" s="50">
        <v>10.349</v>
      </c>
      <c r="W88" s="50">
        <v>10.582000000000001</v>
      </c>
      <c r="X88" s="50">
        <v>10.292999999999999</v>
      </c>
      <c r="Y88" s="50">
        <v>10.292</v>
      </c>
      <c r="Z88" s="50">
        <v>10.311999999999999</v>
      </c>
      <c r="AA88" s="50">
        <v>11.028</v>
      </c>
      <c r="AB88" s="50">
        <v>11.52</v>
      </c>
      <c r="AC88" s="50">
        <v>12.375999999999999</v>
      </c>
      <c r="AD88" s="50">
        <v>13.006</v>
      </c>
    </row>
    <row r="89" spans="1:30" x14ac:dyDescent="0.25">
      <c r="A89" s="50">
        <f t="shared" si="26"/>
        <v>88</v>
      </c>
      <c r="B89" s="51">
        <v>333</v>
      </c>
      <c r="C89" s="50">
        <v>1.617</v>
      </c>
      <c r="D89" s="50">
        <v>1.716</v>
      </c>
      <c r="E89" s="50">
        <v>1.7330000000000001</v>
      </c>
      <c r="F89" s="50">
        <v>1.651</v>
      </c>
      <c r="G89" s="50">
        <v>1.73</v>
      </c>
      <c r="H89" s="50">
        <v>1.972</v>
      </c>
      <c r="I89" s="50">
        <v>2.1800000000000002</v>
      </c>
      <c r="J89" s="50">
        <v>2.6440000000000001</v>
      </c>
      <c r="K89" s="50">
        <v>3.32</v>
      </c>
      <c r="L89" s="50">
        <v>3.62</v>
      </c>
      <c r="M89" s="50">
        <v>3.8420000000000001</v>
      </c>
      <c r="N89" s="50">
        <v>4.34</v>
      </c>
      <c r="O89" s="50">
        <v>4.3440000000000003</v>
      </c>
      <c r="P89" s="50">
        <v>4.5010000000000003</v>
      </c>
      <c r="Q89" s="50">
        <v>5.1040000000000001</v>
      </c>
      <c r="R89" s="50">
        <v>5.05</v>
      </c>
      <c r="S89" s="50">
        <v>4.992</v>
      </c>
      <c r="T89" s="50">
        <v>5.65</v>
      </c>
      <c r="U89" s="50">
        <v>6.0629999999999997</v>
      </c>
      <c r="V89" s="50">
        <v>6.3360000000000003</v>
      </c>
      <c r="W89" s="50">
        <v>6.6559999999999997</v>
      </c>
      <c r="X89" s="50">
        <v>7.14</v>
      </c>
      <c r="Y89" s="50">
        <v>7.23</v>
      </c>
      <c r="Z89" s="50">
        <v>7.4619999999999997</v>
      </c>
      <c r="AA89" s="50">
        <v>7.6180000000000003</v>
      </c>
      <c r="AB89" s="50">
        <v>7.8150000000000004</v>
      </c>
      <c r="AC89" s="50">
        <v>8.7309999999999999</v>
      </c>
      <c r="AD89" s="50">
        <v>8.5820000000000007</v>
      </c>
    </row>
    <row r="90" spans="1:30" x14ac:dyDescent="0.25">
      <c r="A90" s="50">
        <f t="shared" si="26"/>
        <v>89</v>
      </c>
      <c r="B90" s="50">
        <v>339</v>
      </c>
      <c r="C90" s="50">
        <v>4.5140000000000002</v>
      </c>
      <c r="D90" s="50">
        <v>5.2270000000000003</v>
      </c>
      <c r="E90" s="50">
        <v>5.3979999999999997</v>
      </c>
      <c r="F90" s="50">
        <v>5.3159999999999998</v>
      </c>
      <c r="G90" s="50">
        <v>6.4489999999999998</v>
      </c>
      <c r="H90" s="50">
        <v>7.851</v>
      </c>
      <c r="I90" s="50">
        <v>8.2739999999999991</v>
      </c>
      <c r="J90" s="50">
        <v>8.6319999999999997</v>
      </c>
      <c r="K90" s="50">
        <v>8.2200000000000006</v>
      </c>
      <c r="L90" s="50">
        <v>8.3970000000000002</v>
      </c>
      <c r="M90" s="50">
        <v>9.5570000000000004</v>
      </c>
      <c r="N90" s="50">
        <v>11.266999999999999</v>
      </c>
      <c r="O90" s="50">
        <v>11.228999999999999</v>
      </c>
      <c r="P90" s="50">
        <v>12.727</v>
      </c>
      <c r="Q90" s="50">
        <v>14.259</v>
      </c>
      <c r="R90" s="50">
        <v>14.273</v>
      </c>
      <c r="S90" s="50">
        <v>13.500999999999999</v>
      </c>
      <c r="T90" s="50">
        <v>13.026999999999999</v>
      </c>
      <c r="U90" s="50">
        <v>12.7</v>
      </c>
      <c r="V90" s="50">
        <v>14.068</v>
      </c>
      <c r="W90" s="50">
        <v>13.611000000000001</v>
      </c>
      <c r="X90" s="50">
        <v>12.603</v>
      </c>
      <c r="Y90" s="50">
        <v>12.353999999999999</v>
      </c>
      <c r="Z90" s="50">
        <v>12.388</v>
      </c>
      <c r="AA90" s="50">
        <v>12.462999999999999</v>
      </c>
      <c r="AB90" s="50">
        <v>12.375999999999999</v>
      </c>
      <c r="AC90" s="50">
        <v>12.654999999999999</v>
      </c>
      <c r="AD90" s="50">
        <v>11.894</v>
      </c>
    </row>
    <row r="91" spans="1:30" x14ac:dyDescent="0.25">
      <c r="A91" s="50">
        <f t="shared" si="26"/>
        <v>90</v>
      </c>
      <c r="B91" s="50">
        <v>500</v>
      </c>
      <c r="C91" s="50">
        <v>0</v>
      </c>
      <c r="D91" s="50">
        <v>0</v>
      </c>
      <c r="E91" s="50">
        <v>0</v>
      </c>
      <c r="F91" s="50">
        <v>0</v>
      </c>
      <c r="G91" s="50">
        <v>0</v>
      </c>
      <c r="H91" s="50">
        <v>0</v>
      </c>
      <c r="I91" s="50">
        <v>0</v>
      </c>
      <c r="J91" s="50">
        <v>0</v>
      </c>
      <c r="K91" s="50">
        <v>0</v>
      </c>
      <c r="L91" s="50">
        <v>0</v>
      </c>
      <c r="M91" s="50">
        <v>0</v>
      </c>
      <c r="N91" s="50">
        <v>0</v>
      </c>
      <c r="O91" s="50">
        <v>0</v>
      </c>
      <c r="P91" s="50">
        <v>0</v>
      </c>
      <c r="Q91" s="50">
        <v>0</v>
      </c>
      <c r="R91" s="50">
        <v>0</v>
      </c>
      <c r="S91" s="50">
        <v>0</v>
      </c>
      <c r="T91" s="50">
        <v>0</v>
      </c>
      <c r="U91" s="50">
        <v>0</v>
      </c>
      <c r="V91" s="50">
        <v>0</v>
      </c>
      <c r="W91" s="50">
        <v>0</v>
      </c>
      <c r="X91" s="50">
        <v>0</v>
      </c>
      <c r="Y91" s="50">
        <v>0</v>
      </c>
      <c r="Z91" s="50">
        <v>0</v>
      </c>
      <c r="AA91" s="50">
        <v>0</v>
      </c>
      <c r="AB91" s="50">
        <v>0</v>
      </c>
      <c r="AC91" s="50">
        <v>0</v>
      </c>
      <c r="AD91" s="50">
        <v>0</v>
      </c>
    </row>
    <row r="92" spans="1:30" x14ac:dyDescent="0.25">
      <c r="A92" s="50">
        <f t="shared" si="26"/>
        <v>91</v>
      </c>
      <c r="B92" s="50">
        <v>500</v>
      </c>
      <c r="C92" s="50">
        <v>0.14199999999999999</v>
      </c>
      <c r="D92" s="50">
        <v>0.15</v>
      </c>
      <c r="E92" s="50">
        <v>0.154</v>
      </c>
      <c r="F92" s="50">
        <v>0.17899999999999999</v>
      </c>
      <c r="G92" s="50">
        <v>0.186</v>
      </c>
      <c r="H92" s="50">
        <v>0.21099999999999999</v>
      </c>
      <c r="I92" s="50">
        <v>0.22500000000000001</v>
      </c>
      <c r="J92" s="50">
        <v>0.24299999999999999</v>
      </c>
      <c r="K92" s="50">
        <v>0.28499999999999998</v>
      </c>
      <c r="L92" s="50">
        <v>0.315</v>
      </c>
      <c r="M92" s="50">
        <v>0.33900000000000002</v>
      </c>
      <c r="N92" s="50">
        <v>0.35599999999999998</v>
      </c>
      <c r="O92" s="50">
        <v>0.39</v>
      </c>
      <c r="P92" s="50">
        <v>0.41399999999999998</v>
      </c>
      <c r="Q92" s="50">
        <v>0.41699999999999998</v>
      </c>
      <c r="R92" s="50">
        <v>0.443</v>
      </c>
      <c r="S92" s="50">
        <v>0.47599999999999998</v>
      </c>
      <c r="T92" s="50">
        <v>0.501</v>
      </c>
      <c r="U92" s="50">
        <v>0.49399999999999999</v>
      </c>
      <c r="V92" s="50">
        <v>0.57799999999999996</v>
      </c>
      <c r="W92" s="50">
        <v>0.61499999999999999</v>
      </c>
      <c r="X92" s="50">
        <v>0.64100000000000001</v>
      </c>
      <c r="Y92" s="50">
        <v>0.68100000000000005</v>
      </c>
      <c r="Z92" s="50">
        <v>0.64900000000000002</v>
      </c>
      <c r="AA92" s="50">
        <v>0.63300000000000001</v>
      </c>
      <c r="AB92" s="50">
        <v>0.66400000000000003</v>
      </c>
      <c r="AC92" s="50">
        <v>0.71599999999999997</v>
      </c>
      <c r="AD92" s="50">
        <v>0.754</v>
      </c>
    </row>
    <row r="93" spans="1:30" x14ac:dyDescent="0.25">
      <c r="A93" s="50">
        <f t="shared" si="26"/>
        <v>92</v>
      </c>
      <c r="B93" s="50">
        <v>500</v>
      </c>
      <c r="C93" s="50">
        <v>1.08</v>
      </c>
      <c r="D93" s="50">
        <v>1.147</v>
      </c>
      <c r="E93" s="50">
        <v>1.2090000000000001</v>
      </c>
      <c r="F93" s="50">
        <v>1.4610000000000001</v>
      </c>
      <c r="G93" s="50">
        <v>1.6140000000000001</v>
      </c>
      <c r="H93" s="50">
        <v>1.9730000000000001</v>
      </c>
      <c r="I93" s="50">
        <v>2.141</v>
      </c>
      <c r="J93" s="50">
        <v>2.3530000000000002</v>
      </c>
      <c r="K93" s="50">
        <v>2.6629999999999998</v>
      </c>
      <c r="L93" s="50">
        <v>2.9889999999999999</v>
      </c>
      <c r="M93" s="50">
        <v>3.3029999999999999</v>
      </c>
      <c r="N93" s="50">
        <v>3.5720000000000001</v>
      </c>
      <c r="O93" s="50">
        <v>3.9950000000000001</v>
      </c>
      <c r="P93" s="50">
        <v>4.4690000000000003</v>
      </c>
      <c r="Q93" s="50">
        <v>4.9560000000000004</v>
      </c>
      <c r="R93" s="50">
        <v>5.484</v>
      </c>
      <c r="S93" s="50">
        <v>5.4880000000000004</v>
      </c>
      <c r="T93" s="50">
        <v>5.85</v>
      </c>
      <c r="U93" s="50">
        <v>6.1959999999999997</v>
      </c>
      <c r="V93" s="50">
        <v>6.5750000000000002</v>
      </c>
      <c r="W93" s="50">
        <v>6.9589999999999996</v>
      </c>
      <c r="X93" s="50">
        <v>7.4660000000000002</v>
      </c>
      <c r="Y93" s="50">
        <v>8.1489999999999991</v>
      </c>
      <c r="Z93" s="50">
        <v>8.4930000000000003</v>
      </c>
      <c r="AA93" s="50">
        <v>8.6370000000000005</v>
      </c>
      <c r="AB93" s="50">
        <v>8.8840000000000003</v>
      </c>
      <c r="AC93" s="50">
        <v>9.59</v>
      </c>
      <c r="AD93" s="50">
        <v>10.134</v>
      </c>
    </row>
    <row r="94" spans="1:30" x14ac:dyDescent="0.25">
      <c r="A94" s="50">
        <f t="shared" si="26"/>
        <v>93</v>
      </c>
      <c r="B94" s="50">
        <v>500</v>
      </c>
      <c r="C94" s="50">
        <v>0.25900000000000001</v>
      </c>
      <c r="D94" s="50">
        <v>0.28599999999999998</v>
      </c>
      <c r="E94" s="50">
        <v>0.29299999999999998</v>
      </c>
      <c r="F94" s="50">
        <v>0.33400000000000002</v>
      </c>
      <c r="G94" s="50">
        <v>0.34699999999999998</v>
      </c>
      <c r="H94" s="50">
        <v>0.39400000000000002</v>
      </c>
      <c r="I94" s="50">
        <v>0.438</v>
      </c>
      <c r="J94" s="50">
        <v>0.46200000000000002</v>
      </c>
      <c r="K94" s="50">
        <v>0.56499999999999995</v>
      </c>
      <c r="L94" s="50">
        <v>0.61199999999999999</v>
      </c>
      <c r="M94" s="50">
        <v>0.65</v>
      </c>
      <c r="N94" s="50">
        <v>0.64200000000000002</v>
      </c>
      <c r="O94" s="50">
        <v>0.68200000000000005</v>
      </c>
      <c r="P94" s="50">
        <v>0.66400000000000003</v>
      </c>
      <c r="Q94" s="50">
        <v>0.69499999999999995</v>
      </c>
      <c r="R94" s="50">
        <v>0.749</v>
      </c>
      <c r="S94" s="50">
        <v>0.745</v>
      </c>
      <c r="T94" s="50">
        <v>0.78</v>
      </c>
      <c r="U94" s="50">
        <v>0.8</v>
      </c>
      <c r="V94" s="50">
        <v>0.85099999999999998</v>
      </c>
      <c r="W94" s="50">
        <v>0.97699999999999998</v>
      </c>
      <c r="X94" s="50">
        <v>1.0129999999999999</v>
      </c>
      <c r="Y94" s="50">
        <v>1.1100000000000001</v>
      </c>
      <c r="Z94" s="50">
        <v>1.194</v>
      </c>
      <c r="AA94" s="50">
        <v>1.1659999999999999</v>
      </c>
      <c r="AB94" s="50">
        <v>1.139</v>
      </c>
      <c r="AC94" s="50">
        <v>1.147</v>
      </c>
      <c r="AD94" s="50">
        <v>1.119</v>
      </c>
    </row>
    <row r="95" spans="1:30" x14ac:dyDescent="0.25">
      <c r="A95" s="50">
        <f t="shared" si="26"/>
        <v>94</v>
      </c>
      <c r="B95" s="50">
        <v>500</v>
      </c>
      <c r="C95" s="50">
        <v>0.188</v>
      </c>
      <c r="D95" s="50">
        <v>0.21299999999999999</v>
      </c>
      <c r="E95" s="50">
        <v>0.24</v>
      </c>
      <c r="F95" s="50">
        <v>0.28699999999999998</v>
      </c>
      <c r="G95" s="50">
        <v>0.30499999999999999</v>
      </c>
      <c r="H95" s="50">
        <v>0.35799999999999998</v>
      </c>
      <c r="I95" s="50">
        <v>0.40500000000000003</v>
      </c>
      <c r="J95" s="50">
        <v>0.46899999999999997</v>
      </c>
      <c r="K95" s="50">
        <v>0.60299999999999998</v>
      </c>
      <c r="L95" s="50">
        <v>0.75700000000000001</v>
      </c>
      <c r="M95" s="50">
        <v>0.89400000000000002</v>
      </c>
      <c r="N95" s="50">
        <v>1.01</v>
      </c>
      <c r="O95" s="50">
        <v>1.1040000000000001</v>
      </c>
      <c r="P95" s="50">
        <v>1.141</v>
      </c>
      <c r="Q95" s="50">
        <v>1.1970000000000001</v>
      </c>
      <c r="R95" s="50">
        <v>1.3540000000000001</v>
      </c>
      <c r="S95" s="50">
        <v>1.341</v>
      </c>
      <c r="T95" s="50">
        <v>1.4650000000000001</v>
      </c>
      <c r="U95" s="50">
        <v>1.5309999999999999</v>
      </c>
      <c r="V95" s="50">
        <v>1.6839999999999999</v>
      </c>
      <c r="W95" s="50">
        <v>1.8939999999999999</v>
      </c>
      <c r="X95" s="50">
        <v>2.141</v>
      </c>
      <c r="Y95" s="50">
        <v>2.3929999999999998</v>
      </c>
      <c r="Z95" s="50">
        <v>2.4860000000000002</v>
      </c>
      <c r="AA95" s="50">
        <v>2.5680000000000001</v>
      </c>
      <c r="AB95" s="50">
        <v>2.7370000000000001</v>
      </c>
      <c r="AC95" s="50">
        <v>2.9180000000000001</v>
      </c>
      <c r="AD95" s="50">
        <v>3.0870000000000002</v>
      </c>
    </row>
    <row r="96" spans="1:30" x14ac:dyDescent="0.25">
      <c r="A96" s="50">
        <f t="shared" si="26"/>
        <v>95</v>
      </c>
      <c r="B96" s="50">
        <v>500</v>
      </c>
      <c r="C96" s="50">
        <v>2.5000000000000001E-2</v>
      </c>
      <c r="D96" s="50">
        <v>2.5999999999999999E-2</v>
      </c>
      <c r="E96" s="50">
        <v>2.5999999999999999E-2</v>
      </c>
      <c r="F96" s="50">
        <v>3.3000000000000002E-2</v>
      </c>
      <c r="G96" s="50">
        <v>3.1E-2</v>
      </c>
      <c r="H96" s="50">
        <v>3.3000000000000002E-2</v>
      </c>
      <c r="I96" s="50">
        <v>3.7999999999999999E-2</v>
      </c>
      <c r="J96" s="50">
        <v>4.1000000000000002E-2</v>
      </c>
      <c r="K96" s="50">
        <v>4.2999999999999997E-2</v>
      </c>
      <c r="L96" s="50">
        <v>4.4999999999999998E-2</v>
      </c>
      <c r="M96" s="50">
        <v>0.05</v>
      </c>
      <c r="N96" s="50">
        <v>5.5E-2</v>
      </c>
      <c r="O96" s="50">
        <v>6.3E-2</v>
      </c>
      <c r="P96" s="50">
        <v>7.0000000000000007E-2</v>
      </c>
      <c r="Q96" s="50">
        <v>7.0000000000000007E-2</v>
      </c>
      <c r="R96" s="50">
        <v>7.5999999999999998E-2</v>
      </c>
      <c r="S96" s="50">
        <v>7.4999999999999997E-2</v>
      </c>
      <c r="T96" s="50">
        <v>8.6999999999999994E-2</v>
      </c>
      <c r="U96" s="50">
        <v>9.5000000000000001E-2</v>
      </c>
      <c r="V96" s="50">
        <v>0.106</v>
      </c>
      <c r="W96" s="50">
        <v>0.114</v>
      </c>
      <c r="X96" s="50">
        <v>0.122</v>
      </c>
      <c r="Y96" s="50">
        <v>0.13300000000000001</v>
      </c>
      <c r="Z96" s="50">
        <v>0.14000000000000001</v>
      </c>
      <c r="AA96" s="50">
        <v>0.14399999999999999</v>
      </c>
      <c r="AB96" s="50">
        <v>0.13500000000000001</v>
      </c>
      <c r="AC96" s="50">
        <v>0.128</v>
      </c>
      <c r="AD96" s="50">
        <v>0.122</v>
      </c>
    </row>
    <row r="97" spans="1:30" x14ac:dyDescent="0.25">
      <c r="A97" s="50">
        <f t="shared" si="26"/>
        <v>96</v>
      </c>
      <c r="B97" s="50">
        <v>500</v>
      </c>
      <c r="C97" s="50">
        <v>6.3E-2</v>
      </c>
      <c r="D97" s="50">
        <v>7.1999999999999995E-2</v>
      </c>
      <c r="E97" s="50">
        <v>7.5999999999999998E-2</v>
      </c>
      <c r="F97" s="50">
        <v>8.8999999999999996E-2</v>
      </c>
      <c r="G97" s="50">
        <v>9.5000000000000001E-2</v>
      </c>
      <c r="H97" s="50">
        <v>0.112</v>
      </c>
      <c r="I97" s="50">
        <v>0.127</v>
      </c>
      <c r="J97" s="50">
        <v>0.14000000000000001</v>
      </c>
      <c r="K97" s="50">
        <v>0.17299999999999999</v>
      </c>
      <c r="L97" s="50">
        <v>0.19900000000000001</v>
      </c>
      <c r="M97" s="50">
        <v>0.214</v>
      </c>
      <c r="N97" s="50">
        <v>0.24</v>
      </c>
      <c r="O97" s="50">
        <v>0.27200000000000002</v>
      </c>
      <c r="P97" s="50">
        <v>0.28999999999999998</v>
      </c>
      <c r="Q97" s="50">
        <v>0.30599999999999999</v>
      </c>
      <c r="R97" s="50">
        <v>0.35099999999999998</v>
      </c>
      <c r="S97" s="50">
        <v>0.36499999999999999</v>
      </c>
      <c r="T97" s="50">
        <v>0.40400000000000003</v>
      </c>
      <c r="U97" s="50">
        <v>0.44400000000000001</v>
      </c>
      <c r="V97" s="50">
        <v>0.51500000000000001</v>
      </c>
      <c r="W97" s="50">
        <v>0.59499999999999997</v>
      </c>
      <c r="X97" s="50">
        <v>0.65500000000000003</v>
      </c>
      <c r="Y97" s="50">
        <v>0.72899999999999998</v>
      </c>
      <c r="Z97" s="50">
        <v>0.77200000000000002</v>
      </c>
      <c r="AA97" s="50">
        <v>0.83099999999999996</v>
      </c>
      <c r="AB97" s="50">
        <v>0.90800000000000003</v>
      </c>
      <c r="AC97" s="50">
        <v>1.0049999999999999</v>
      </c>
      <c r="AD97" s="50">
        <v>1.095</v>
      </c>
    </row>
    <row r="98" spans="1:30" x14ac:dyDescent="0.25">
      <c r="A98" s="50">
        <f t="shared" si="26"/>
        <v>97</v>
      </c>
      <c r="B98" s="50">
        <v>500</v>
      </c>
      <c r="C98" s="50">
        <v>17.885999999999999</v>
      </c>
      <c r="D98" s="50">
        <v>18.864999999999998</v>
      </c>
      <c r="E98" s="50">
        <v>19.687000000000001</v>
      </c>
      <c r="F98" s="50">
        <v>20.411000000000001</v>
      </c>
      <c r="G98" s="50">
        <v>21.24</v>
      </c>
      <c r="H98" s="50">
        <v>22.052</v>
      </c>
      <c r="I98" s="50">
        <v>23.068999999999999</v>
      </c>
      <c r="J98" s="50">
        <v>24.207999999999998</v>
      </c>
      <c r="K98" s="50">
        <v>25.405999999999999</v>
      </c>
      <c r="L98" s="50">
        <v>26.568999999999999</v>
      </c>
      <c r="M98" s="50">
        <v>27.856000000000002</v>
      </c>
      <c r="N98" s="50">
        <v>29.248000000000001</v>
      </c>
      <c r="O98" s="50">
        <v>30.422000000000001</v>
      </c>
      <c r="P98" s="50">
        <v>31.574999999999999</v>
      </c>
      <c r="Q98" s="50">
        <v>33.085999999999999</v>
      </c>
      <c r="R98" s="50">
        <v>37.362000000000002</v>
      </c>
      <c r="S98" s="50">
        <v>35.212000000000003</v>
      </c>
      <c r="T98" s="50">
        <v>36.819000000000003</v>
      </c>
      <c r="U98" s="50">
        <v>37.368000000000002</v>
      </c>
      <c r="V98" s="50">
        <v>37.645000000000003</v>
      </c>
      <c r="W98" s="50">
        <v>45.723999999999997</v>
      </c>
      <c r="X98" s="50">
        <v>50.3</v>
      </c>
      <c r="Y98" s="50">
        <v>54.875</v>
      </c>
      <c r="Z98" s="50">
        <v>59.444000000000003</v>
      </c>
      <c r="AA98" s="50">
        <v>62.402999999999999</v>
      </c>
      <c r="AB98" s="50">
        <v>65.28</v>
      </c>
      <c r="AC98" s="50">
        <v>68.486999999999995</v>
      </c>
      <c r="AD98" s="50">
        <v>71.879000000000005</v>
      </c>
    </row>
    <row r="99" spans="1:30" x14ac:dyDescent="0.25">
      <c r="A99" s="50">
        <f t="shared" si="26"/>
        <v>98</v>
      </c>
      <c r="B99" s="50">
        <v>500</v>
      </c>
      <c r="C99" s="50">
        <v>2.0209999999999999</v>
      </c>
      <c r="D99" s="50">
        <v>2.11</v>
      </c>
      <c r="E99" s="50">
        <v>2.2170000000000001</v>
      </c>
      <c r="F99" s="50">
        <v>2.278</v>
      </c>
      <c r="G99" s="50">
        <v>2.3109999999999999</v>
      </c>
      <c r="H99" s="50">
        <v>2.4140000000000001</v>
      </c>
      <c r="I99" s="50">
        <v>2.4660000000000002</v>
      </c>
      <c r="J99" s="50">
        <v>2.6080000000000001</v>
      </c>
      <c r="K99" s="50">
        <v>2.625</v>
      </c>
      <c r="L99" s="50">
        <v>2.6339999999999999</v>
      </c>
      <c r="M99" s="50">
        <v>2.6429999999999998</v>
      </c>
      <c r="N99" s="50">
        <v>2.6509999999999998</v>
      </c>
      <c r="O99" s="50">
        <v>2.6560000000000001</v>
      </c>
      <c r="P99" s="50">
        <v>2.68</v>
      </c>
      <c r="Q99" s="50">
        <v>2.6829999999999998</v>
      </c>
      <c r="R99" s="50">
        <v>2.6850000000000001</v>
      </c>
      <c r="S99" s="50">
        <v>2.6920000000000002</v>
      </c>
      <c r="T99" s="50">
        <v>2.7149999999999999</v>
      </c>
      <c r="U99" s="50">
        <v>2.7450000000000001</v>
      </c>
      <c r="V99" s="50">
        <v>2.8130000000000002</v>
      </c>
      <c r="W99" s="50">
        <v>1.9279999999999999</v>
      </c>
      <c r="X99" s="50">
        <v>1.8360000000000001</v>
      </c>
      <c r="Y99" s="50">
        <v>1.7669999999999999</v>
      </c>
      <c r="Z99" s="50">
        <v>1.653</v>
      </c>
      <c r="AA99" s="50">
        <v>1.681</v>
      </c>
      <c r="AB99" s="50">
        <v>1.61</v>
      </c>
      <c r="AC99" s="50">
        <v>1.55</v>
      </c>
      <c r="AD99" s="50">
        <v>1.488</v>
      </c>
    </row>
    <row r="100" spans="1:30" x14ac:dyDescent="0.25">
      <c r="A100" s="50">
        <f t="shared" si="26"/>
        <v>99</v>
      </c>
      <c r="B100" s="50">
        <v>500</v>
      </c>
      <c r="C100" s="50">
        <v>41.395000000000003</v>
      </c>
      <c r="D100" s="50">
        <v>52.143000000000001</v>
      </c>
      <c r="E100" s="50">
        <v>14.518000000000001</v>
      </c>
      <c r="F100" s="50">
        <v>11.173999999999999</v>
      </c>
      <c r="G100" s="50">
        <v>12.324</v>
      </c>
      <c r="H100" s="50">
        <v>11.379</v>
      </c>
      <c r="I100" s="50">
        <v>12.914999999999999</v>
      </c>
      <c r="J100" s="50">
        <v>12.645</v>
      </c>
      <c r="K100" s="50">
        <v>12.436999999999999</v>
      </c>
      <c r="L100" s="50">
        <v>13.372</v>
      </c>
      <c r="M100" s="50">
        <v>14.419</v>
      </c>
      <c r="N100" s="50">
        <v>15.026999999999999</v>
      </c>
      <c r="O100" s="50">
        <v>15.634</v>
      </c>
      <c r="P100" s="50">
        <v>16.613</v>
      </c>
      <c r="Q100" s="50">
        <v>18.452000000000002</v>
      </c>
      <c r="R100" s="50">
        <v>19.652999999999999</v>
      </c>
      <c r="S100" s="50">
        <v>18.725000000000001</v>
      </c>
      <c r="T100" s="50">
        <v>17.773</v>
      </c>
      <c r="U100" s="50">
        <v>19.202999999999999</v>
      </c>
      <c r="V100" s="50">
        <v>22.4</v>
      </c>
      <c r="W100" s="50">
        <v>23.43</v>
      </c>
      <c r="X100" s="50">
        <v>33.546999999999997</v>
      </c>
      <c r="Y100" s="50">
        <v>27.05</v>
      </c>
      <c r="Z100" s="50">
        <v>26.838999999999999</v>
      </c>
      <c r="AA100" s="50">
        <v>32.728000000000002</v>
      </c>
      <c r="AB100" s="50">
        <v>29.646999999999998</v>
      </c>
      <c r="AC100" s="50">
        <v>30.995000000000001</v>
      </c>
      <c r="AD100" s="50">
        <v>24.867000000000001</v>
      </c>
    </row>
    <row r="101" spans="1:30" x14ac:dyDescent="0.25">
      <c r="A101" s="50">
        <f t="shared" si="26"/>
        <v>100</v>
      </c>
      <c r="B101" s="50">
        <v>500</v>
      </c>
      <c r="C101" s="50">
        <v>1.7000000000000001E-2</v>
      </c>
      <c r="D101" s="50">
        <v>2.1000000000000001E-2</v>
      </c>
      <c r="E101" s="50">
        <v>1.4E-2</v>
      </c>
      <c r="F101" s="50">
        <v>3.4000000000000002E-2</v>
      </c>
      <c r="G101" s="50">
        <v>4.8000000000000001E-2</v>
      </c>
      <c r="H101" s="50">
        <v>5.5E-2</v>
      </c>
      <c r="I101" s="50">
        <v>5.8000000000000003E-2</v>
      </c>
      <c r="J101" s="50">
        <v>6.0999999999999999E-2</v>
      </c>
      <c r="K101" s="50">
        <v>6.8000000000000005E-2</v>
      </c>
      <c r="L101" s="50">
        <v>8.8999999999999996E-2</v>
      </c>
      <c r="M101" s="50">
        <v>0.13</v>
      </c>
      <c r="N101" s="50">
        <v>0.15</v>
      </c>
      <c r="O101" s="50">
        <v>0.26900000000000002</v>
      </c>
      <c r="P101" s="50">
        <v>0.50800000000000001</v>
      </c>
      <c r="Q101" s="50">
        <v>0.747</v>
      </c>
      <c r="R101" s="50">
        <v>1.153</v>
      </c>
      <c r="S101" s="50">
        <v>1.4359999999999999</v>
      </c>
      <c r="T101" s="50">
        <v>2.1560000000000001</v>
      </c>
      <c r="U101" s="50">
        <v>2.3439999999999999</v>
      </c>
      <c r="V101" s="50">
        <v>3.1320000000000001</v>
      </c>
      <c r="W101" s="50">
        <v>3.726</v>
      </c>
      <c r="X101" s="50">
        <v>4.5890000000000004</v>
      </c>
      <c r="Y101" s="50">
        <v>3.6680000000000001</v>
      </c>
      <c r="Z101" s="50">
        <v>3.9670000000000001</v>
      </c>
      <c r="AA101" s="50">
        <v>5.1829999999999998</v>
      </c>
      <c r="AB101" s="50">
        <v>4.8769999999999998</v>
      </c>
      <c r="AC101" s="50">
        <v>5.4039999999999999</v>
      </c>
      <c r="AD101" s="50">
        <v>5.3710000000000004</v>
      </c>
    </row>
    <row r="102" spans="1:30" x14ac:dyDescent="0.25">
      <c r="A102" s="50">
        <f t="shared" si="26"/>
        <v>101</v>
      </c>
      <c r="B102" s="50">
        <v>500</v>
      </c>
      <c r="C102" s="50">
        <v>5.6609999999999996</v>
      </c>
      <c r="D102" s="50">
        <v>6.1280000000000001</v>
      </c>
      <c r="E102" s="50">
        <v>1.6859999999999999</v>
      </c>
      <c r="F102" s="50">
        <v>1.1399999999999999</v>
      </c>
      <c r="G102" s="50">
        <v>1.3140000000000001</v>
      </c>
      <c r="H102" s="50">
        <v>1.0509999999999999</v>
      </c>
      <c r="I102" s="50">
        <v>1.1160000000000001</v>
      </c>
      <c r="J102" s="50">
        <v>1.1459999999999999</v>
      </c>
      <c r="K102" s="50">
        <v>0.95199999999999996</v>
      </c>
      <c r="L102" s="50">
        <v>1.119</v>
      </c>
      <c r="M102" s="50">
        <v>1.0169999999999999</v>
      </c>
      <c r="N102" s="50">
        <v>1.0920000000000001</v>
      </c>
      <c r="O102" s="50">
        <v>0.99299999999999999</v>
      </c>
      <c r="P102" s="50">
        <v>1.095</v>
      </c>
      <c r="Q102" s="50">
        <v>1.119</v>
      </c>
      <c r="R102" s="50">
        <v>1.1499999999999999</v>
      </c>
      <c r="S102" s="50">
        <v>1.177</v>
      </c>
      <c r="T102" s="50">
        <v>1.133</v>
      </c>
      <c r="U102" s="50">
        <v>0.94499999999999995</v>
      </c>
      <c r="V102" s="50">
        <v>0.84599999999999997</v>
      </c>
      <c r="W102" s="50">
        <v>1.163</v>
      </c>
      <c r="X102" s="50">
        <v>1.6339999999999999</v>
      </c>
      <c r="Y102" s="50">
        <v>1.2250000000000001</v>
      </c>
      <c r="Z102" s="50">
        <v>1.0609999999999999</v>
      </c>
      <c r="AA102" s="50">
        <v>1.8169999999999999</v>
      </c>
      <c r="AB102" s="50">
        <v>1.7450000000000001</v>
      </c>
      <c r="AC102" s="50">
        <v>1.6359999999999999</v>
      </c>
      <c r="AD102" s="50">
        <v>1.03</v>
      </c>
    </row>
    <row r="103" spans="1:30" x14ac:dyDescent="0.25">
      <c r="A103" s="50">
        <f t="shared" si="26"/>
        <v>102</v>
      </c>
      <c r="B103" s="50">
        <v>500</v>
      </c>
      <c r="C103" s="50">
        <v>2.6379999999999999</v>
      </c>
      <c r="D103" s="50">
        <v>3.6640000000000001</v>
      </c>
      <c r="E103" s="50">
        <v>1.0409999999999999</v>
      </c>
      <c r="F103" s="50">
        <v>0.79200000000000004</v>
      </c>
      <c r="G103" s="50">
        <v>0.88400000000000001</v>
      </c>
      <c r="H103" s="50">
        <v>0.82199999999999995</v>
      </c>
      <c r="I103" s="50">
        <v>0.90400000000000003</v>
      </c>
      <c r="J103" s="50">
        <v>0.82199999999999995</v>
      </c>
      <c r="K103" s="50">
        <v>0.79800000000000004</v>
      </c>
      <c r="L103" s="50">
        <v>0.87</v>
      </c>
      <c r="M103" s="50">
        <v>0.92100000000000004</v>
      </c>
      <c r="N103" s="50">
        <v>0.96199999999999997</v>
      </c>
      <c r="O103" s="50">
        <v>0.98899999999999999</v>
      </c>
      <c r="P103" s="50">
        <v>1.024</v>
      </c>
      <c r="Q103" s="50">
        <v>1.17</v>
      </c>
      <c r="R103" s="50">
        <v>1.252</v>
      </c>
      <c r="S103" s="50">
        <v>1.17</v>
      </c>
      <c r="T103" s="50">
        <v>1.177</v>
      </c>
      <c r="U103" s="50">
        <v>1.2390000000000001</v>
      </c>
      <c r="V103" s="50">
        <v>1.5489999999999999</v>
      </c>
      <c r="W103" s="50">
        <v>1.6579999999999999</v>
      </c>
      <c r="X103" s="50">
        <v>2.3540000000000001</v>
      </c>
      <c r="Y103" s="50">
        <v>1.9350000000000001</v>
      </c>
      <c r="Z103" s="50">
        <v>1.976</v>
      </c>
      <c r="AA103" s="50">
        <v>2.444</v>
      </c>
      <c r="AB103" s="50">
        <v>2.04</v>
      </c>
      <c r="AC103" s="50">
        <v>2.1589999999999998</v>
      </c>
      <c r="AD103" s="50">
        <v>1.782</v>
      </c>
    </row>
    <row r="104" spans="1:30" x14ac:dyDescent="0.25">
      <c r="A104" s="50">
        <f t="shared" si="26"/>
        <v>103</v>
      </c>
      <c r="B104" s="50">
        <v>500</v>
      </c>
      <c r="C104" s="50">
        <v>0</v>
      </c>
      <c r="D104" s="50">
        <v>0</v>
      </c>
      <c r="E104" s="50">
        <v>0</v>
      </c>
      <c r="F104" s="50">
        <v>0</v>
      </c>
      <c r="G104" s="50">
        <v>0</v>
      </c>
      <c r="H104" s="50">
        <v>0</v>
      </c>
      <c r="I104" s="50">
        <v>3.0000000000000001E-3</v>
      </c>
      <c r="J104" s="50">
        <v>0</v>
      </c>
      <c r="K104" s="50">
        <v>1.4E-2</v>
      </c>
      <c r="L104" s="50">
        <v>3.1E-2</v>
      </c>
      <c r="M104" s="50">
        <v>5.8000000000000003E-2</v>
      </c>
      <c r="N104" s="50">
        <v>5.5E-2</v>
      </c>
      <c r="O104" s="50">
        <v>3.7999999999999999E-2</v>
      </c>
      <c r="P104" s="50">
        <v>3.7999999999999999E-2</v>
      </c>
      <c r="Q104" s="50">
        <v>4.3999999999999997E-2</v>
      </c>
      <c r="R104" s="50">
        <v>7.4999999999999997E-2</v>
      </c>
      <c r="S104" s="50">
        <v>0.11600000000000001</v>
      </c>
      <c r="T104" s="50">
        <v>0.191</v>
      </c>
      <c r="U104" s="50">
        <v>0.246</v>
      </c>
      <c r="V104" s="50">
        <v>0.41299999999999998</v>
      </c>
      <c r="W104" s="50">
        <v>0.42599999999999999</v>
      </c>
      <c r="X104" s="50">
        <v>0.56299999999999994</v>
      </c>
      <c r="Y104" s="50">
        <v>0.34100000000000003</v>
      </c>
      <c r="Z104" s="50">
        <v>0.316</v>
      </c>
      <c r="AA104" s="50">
        <v>0.49099999999999999</v>
      </c>
      <c r="AB104" s="50">
        <v>0.33600000000000002</v>
      </c>
      <c r="AC104" s="50">
        <v>0.503</v>
      </c>
      <c r="AD104" s="50">
        <v>0.35399999999999998</v>
      </c>
    </row>
    <row r="105" spans="1:30" x14ac:dyDescent="0.25">
      <c r="A105" s="50">
        <f t="shared" si="26"/>
        <v>104</v>
      </c>
      <c r="B105" s="50">
        <v>500</v>
      </c>
      <c r="C105" s="50">
        <v>1.256</v>
      </c>
      <c r="D105" s="50">
        <v>1.8939999999999999</v>
      </c>
      <c r="E105" s="50">
        <v>0.56000000000000005</v>
      </c>
      <c r="F105" s="50">
        <v>0.61799999999999999</v>
      </c>
      <c r="G105" s="50">
        <v>0.77100000000000002</v>
      </c>
      <c r="H105" s="50">
        <v>0.66200000000000003</v>
      </c>
      <c r="I105" s="50">
        <v>0.751</v>
      </c>
      <c r="J105" s="50">
        <v>0.73699999999999999</v>
      </c>
      <c r="K105" s="50">
        <v>0.68600000000000005</v>
      </c>
      <c r="L105" s="50">
        <v>0.82199999999999995</v>
      </c>
      <c r="M105" s="50">
        <v>0.90800000000000003</v>
      </c>
      <c r="N105" s="50">
        <v>1.01</v>
      </c>
      <c r="O105" s="50">
        <v>0.92500000000000004</v>
      </c>
      <c r="P105" s="50">
        <v>0.96899999999999997</v>
      </c>
      <c r="Q105" s="50">
        <v>1.0129999999999999</v>
      </c>
      <c r="R105" s="50">
        <v>1.048</v>
      </c>
      <c r="S105" s="50">
        <v>1.181</v>
      </c>
      <c r="T105" s="50">
        <v>1.044</v>
      </c>
      <c r="U105" s="50">
        <v>0.98599999999999999</v>
      </c>
      <c r="V105" s="50">
        <v>0.80900000000000005</v>
      </c>
      <c r="W105" s="50">
        <v>1.1359999999999999</v>
      </c>
      <c r="X105" s="50">
        <v>1.498</v>
      </c>
      <c r="Y105" s="50">
        <v>1.2689999999999999</v>
      </c>
      <c r="Z105" s="50">
        <v>1.2010000000000001</v>
      </c>
      <c r="AA105" s="50">
        <v>1.7629999999999999</v>
      </c>
      <c r="AB105" s="50">
        <v>1.6120000000000001</v>
      </c>
      <c r="AC105" s="50">
        <v>1.462</v>
      </c>
      <c r="AD105" s="50">
        <v>1.1100000000000001</v>
      </c>
    </row>
    <row r="106" spans="1:30" x14ac:dyDescent="0.25">
      <c r="A106" s="50">
        <f t="shared" si="26"/>
        <v>105</v>
      </c>
      <c r="B106" s="50">
        <v>500</v>
      </c>
      <c r="C106" s="50">
        <v>4.0739999999999998</v>
      </c>
      <c r="D106" s="50">
        <v>4.9710000000000001</v>
      </c>
      <c r="E106" s="50">
        <v>1.321</v>
      </c>
      <c r="F106" s="50">
        <v>0.95199999999999996</v>
      </c>
      <c r="G106" s="50">
        <v>0.98899999999999999</v>
      </c>
      <c r="H106" s="50">
        <v>0.98599999999999999</v>
      </c>
      <c r="I106" s="50">
        <v>1</v>
      </c>
      <c r="J106" s="50">
        <v>1.0580000000000001</v>
      </c>
      <c r="K106" s="50">
        <v>1.0069999999999999</v>
      </c>
      <c r="L106" s="50">
        <v>1.0269999999999999</v>
      </c>
      <c r="M106" s="50">
        <v>1.143</v>
      </c>
      <c r="N106" s="50">
        <v>1.1259999999999999</v>
      </c>
      <c r="O106" s="50">
        <v>1.0509999999999999</v>
      </c>
      <c r="P106" s="50">
        <v>1.0409999999999999</v>
      </c>
      <c r="Q106" s="50">
        <v>1.1739999999999999</v>
      </c>
      <c r="R106" s="50">
        <v>1.3069999999999999</v>
      </c>
      <c r="S106" s="50">
        <v>1.095</v>
      </c>
      <c r="T106" s="50">
        <v>1.044</v>
      </c>
      <c r="U106" s="50">
        <v>1.2150000000000001</v>
      </c>
      <c r="V106" s="50">
        <v>1.2689999999999999</v>
      </c>
      <c r="W106" s="50">
        <v>1.3029999999999999</v>
      </c>
      <c r="X106" s="50">
        <v>1.7130000000000001</v>
      </c>
      <c r="Y106" s="50">
        <v>1.45</v>
      </c>
      <c r="Z106" s="50">
        <v>1.3839999999999999</v>
      </c>
      <c r="AA106" s="50">
        <v>1.4590000000000001</v>
      </c>
      <c r="AB106" s="50">
        <v>1.3580000000000001</v>
      </c>
      <c r="AC106" s="50">
        <v>1.306</v>
      </c>
      <c r="AD106" s="50">
        <v>1.2030000000000001</v>
      </c>
    </row>
    <row r="107" spans="1:30" x14ac:dyDescent="0.25">
      <c r="A107" s="50">
        <f t="shared" si="26"/>
        <v>106</v>
      </c>
      <c r="B107" s="50">
        <v>500</v>
      </c>
      <c r="C107" s="50">
        <v>0</v>
      </c>
      <c r="D107" s="50">
        <v>0</v>
      </c>
      <c r="E107" s="50">
        <v>0</v>
      </c>
      <c r="F107" s="50">
        <v>0</v>
      </c>
      <c r="G107" s="50">
        <v>0</v>
      </c>
      <c r="H107" s="50">
        <v>0</v>
      </c>
      <c r="I107" s="50">
        <v>0</v>
      </c>
      <c r="J107" s="50">
        <v>0</v>
      </c>
      <c r="K107" s="50">
        <v>0</v>
      </c>
      <c r="L107" s="50">
        <v>0</v>
      </c>
      <c r="M107" s="50">
        <v>0</v>
      </c>
      <c r="N107" s="50">
        <v>0</v>
      </c>
      <c r="O107" s="50">
        <v>0</v>
      </c>
      <c r="P107" s="50">
        <v>0</v>
      </c>
      <c r="Q107" s="50">
        <v>0</v>
      </c>
      <c r="R107" s="50">
        <v>3.0000000000000001E-3</v>
      </c>
      <c r="S107" s="50">
        <v>9.1999999999999998E-2</v>
      </c>
      <c r="T107" s="50">
        <v>3.7999999999999999E-2</v>
      </c>
      <c r="U107" s="50">
        <v>5.8000000000000003E-2</v>
      </c>
      <c r="V107" s="50">
        <v>0.28299999999999997</v>
      </c>
      <c r="W107" s="50">
        <v>0.26900000000000002</v>
      </c>
      <c r="X107" s="50">
        <v>0.44700000000000001</v>
      </c>
      <c r="Y107" s="50">
        <v>0.33400000000000002</v>
      </c>
      <c r="Z107" s="50">
        <v>0.39100000000000001</v>
      </c>
      <c r="AA107" s="50">
        <v>0.60499999999999998</v>
      </c>
      <c r="AB107" s="50">
        <v>0.54800000000000004</v>
      </c>
      <c r="AC107" s="50">
        <v>0.48099999999999998</v>
      </c>
      <c r="AD107" s="50">
        <v>0.19500000000000001</v>
      </c>
    </row>
    <row r="108" spans="1:30" x14ac:dyDescent="0.25">
      <c r="A108" s="50">
        <f t="shared" si="26"/>
        <v>107</v>
      </c>
      <c r="B108" s="50">
        <v>500</v>
      </c>
      <c r="C108" s="50">
        <v>6.452</v>
      </c>
      <c r="D108" s="50">
        <v>6.6159999999999997</v>
      </c>
      <c r="E108" s="50">
        <v>1.802</v>
      </c>
      <c r="F108" s="50">
        <v>1.3169999999999999</v>
      </c>
      <c r="G108" s="50">
        <v>1.423</v>
      </c>
      <c r="H108" s="50">
        <v>1.208</v>
      </c>
      <c r="I108" s="50">
        <v>1.399</v>
      </c>
      <c r="J108" s="50">
        <v>1.4019999999999999</v>
      </c>
      <c r="K108" s="50">
        <v>1.3</v>
      </c>
      <c r="L108" s="50">
        <v>1.4910000000000001</v>
      </c>
      <c r="M108" s="50">
        <v>1.43</v>
      </c>
      <c r="N108" s="50">
        <v>1.5349999999999999</v>
      </c>
      <c r="O108" s="50">
        <v>1.5489999999999999</v>
      </c>
      <c r="P108" s="50">
        <v>1.7370000000000001</v>
      </c>
      <c r="Q108" s="50">
        <v>1.8460000000000001</v>
      </c>
      <c r="R108" s="50">
        <v>1.8220000000000001</v>
      </c>
      <c r="S108" s="50">
        <v>1.9930000000000001</v>
      </c>
      <c r="T108" s="50">
        <v>1.9790000000000001</v>
      </c>
      <c r="U108" s="50">
        <v>1.9990000000000001</v>
      </c>
      <c r="V108" s="50">
        <v>1.7090000000000001</v>
      </c>
      <c r="W108" s="50">
        <v>2.1909999999999998</v>
      </c>
      <c r="X108" s="50">
        <v>3.0129999999999999</v>
      </c>
      <c r="Y108" s="50">
        <v>2.2829999999999999</v>
      </c>
      <c r="Z108" s="50">
        <v>2.206</v>
      </c>
      <c r="AA108" s="50">
        <v>3.2879999999999998</v>
      </c>
      <c r="AB108" s="50">
        <v>3.1579999999999999</v>
      </c>
      <c r="AC108" s="50">
        <v>3.1640000000000001</v>
      </c>
      <c r="AD108" s="50">
        <v>2.198</v>
      </c>
    </row>
    <row r="109" spans="1:30" x14ac:dyDescent="0.25">
      <c r="A109" s="50">
        <f t="shared" si="26"/>
        <v>108</v>
      </c>
      <c r="B109" s="50">
        <v>500</v>
      </c>
      <c r="C109" s="50">
        <v>0</v>
      </c>
      <c r="D109" s="50">
        <v>0</v>
      </c>
      <c r="E109" s="50">
        <v>0</v>
      </c>
      <c r="F109" s="50">
        <v>0</v>
      </c>
      <c r="G109" s="50">
        <v>0</v>
      </c>
      <c r="H109" s="50">
        <v>0</v>
      </c>
      <c r="I109" s="50">
        <v>0</v>
      </c>
      <c r="J109" s="50">
        <v>0</v>
      </c>
      <c r="K109" s="50">
        <v>0</v>
      </c>
      <c r="L109" s="50">
        <v>0</v>
      </c>
      <c r="M109" s="50">
        <v>0</v>
      </c>
      <c r="N109" s="50">
        <v>0</v>
      </c>
      <c r="O109" s="50">
        <v>0</v>
      </c>
      <c r="P109" s="50">
        <v>0</v>
      </c>
      <c r="Q109" s="50">
        <v>0</v>
      </c>
      <c r="R109" s="50">
        <v>0</v>
      </c>
      <c r="S109" s="50">
        <v>0</v>
      </c>
      <c r="T109" s="50">
        <v>0</v>
      </c>
      <c r="U109" s="50">
        <v>0</v>
      </c>
      <c r="V109" s="50">
        <v>0</v>
      </c>
      <c r="W109" s="50">
        <v>0</v>
      </c>
      <c r="X109" s="50">
        <v>0</v>
      </c>
      <c r="Y109" s="50">
        <v>0</v>
      </c>
      <c r="Z109" s="50">
        <v>0</v>
      </c>
      <c r="AA109" s="50">
        <v>0</v>
      </c>
      <c r="AB109" s="50">
        <v>0</v>
      </c>
      <c r="AC109" s="50">
        <v>0</v>
      </c>
      <c r="AD109" s="50">
        <v>0</v>
      </c>
    </row>
    <row r="110" spans="1:30" x14ac:dyDescent="0.25">
      <c r="A110" s="50">
        <f t="shared" si="26"/>
        <v>109</v>
      </c>
      <c r="B110" s="50">
        <v>500</v>
      </c>
      <c r="C110" s="50">
        <v>0</v>
      </c>
      <c r="D110" s="50">
        <v>0</v>
      </c>
      <c r="E110" s="50">
        <v>0</v>
      </c>
      <c r="F110" s="50">
        <v>0</v>
      </c>
      <c r="G110" s="50">
        <v>0</v>
      </c>
      <c r="H110" s="50">
        <v>0</v>
      </c>
      <c r="I110" s="50">
        <v>0</v>
      </c>
      <c r="J110" s="50">
        <v>0</v>
      </c>
      <c r="K110" s="50">
        <v>0</v>
      </c>
      <c r="L110" s="50">
        <v>0</v>
      </c>
      <c r="M110" s="50">
        <v>0</v>
      </c>
      <c r="N110" s="50">
        <v>0</v>
      </c>
      <c r="O110" s="50">
        <v>0</v>
      </c>
      <c r="P110" s="50">
        <v>0</v>
      </c>
      <c r="Q110" s="50">
        <v>0</v>
      </c>
      <c r="R110" s="50">
        <v>0</v>
      </c>
      <c r="S110" s="50">
        <v>0</v>
      </c>
      <c r="T110" s="50">
        <v>0</v>
      </c>
      <c r="U110" s="50">
        <v>0</v>
      </c>
      <c r="V110" s="50">
        <v>0</v>
      </c>
      <c r="W110" s="50">
        <v>0</v>
      </c>
      <c r="X110" s="50">
        <v>0</v>
      </c>
      <c r="Y110" s="50">
        <v>0</v>
      </c>
      <c r="Z110" s="50">
        <v>0</v>
      </c>
      <c r="AA110" s="50">
        <v>0</v>
      </c>
      <c r="AB110" s="50">
        <v>0</v>
      </c>
      <c r="AC110" s="50">
        <v>0</v>
      </c>
      <c r="AD110" s="50">
        <v>0</v>
      </c>
    </row>
    <row r="111" spans="1:30" x14ac:dyDescent="0.25">
      <c r="A111" s="50">
        <f t="shared" si="26"/>
        <v>110</v>
      </c>
      <c r="B111" s="50">
        <v>500</v>
      </c>
      <c r="C111" s="50">
        <v>25.553999999999998</v>
      </c>
      <c r="D111" s="50">
        <v>24.974</v>
      </c>
      <c r="E111" s="50">
        <v>30.702999999999999</v>
      </c>
      <c r="F111" s="50">
        <v>37.908999999999999</v>
      </c>
      <c r="G111" s="50">
        <v>43.637999999999998</v>
      </c>
      <c r="H111" s="50">
        <v>50.844999999999999</v>
      </c>
      <c r="I111" s="50">
        <v>56.573</v>
      </c>
      <c r="J111" s="50">
        <v>64.069999999999993</v>
      </c>
      <c r="K111" s="50">
        <v>69.588999999999999</v>
      </c>
      <c r="L111" s="50">
        <v>76.786000000000001</v>
      </c>
      <c r="M111" s="50">
        <v>82.506</v>
      </c>
      <c r="N111" s="50">
        <v>89.700999999999993</v>
      </c>
      <c r="O111" s="50">
        <v>95.421999999999997</v>
      </c>
      <c r="P111" s="50">
        <v>104.664</v>
      </c>
      <c r="Q111" s="50">
        <v>114.223</v>
      </c>
      <c r="R111" s="50">
        <v>123.45699999999999</v>
      </c>
      <c r="S111" s="50">
        <v>132.73099999999999</v>
      </c>
      <c r="T111" s="50">
        <v>141.78700000000001</v>
      </c>
      <c r="U111" s="50">
        <v>151.30199999999999</v>
      </c>
      <c r="V111" s="50">
        <v>160.52500000000001</v>
      </c>
      <c r="W111" s="50">
        <v>169.75899999999999</v>
      </c>
      <c r="X111" s="50">
        <v>177.75800000000001</v>
      </c>
      <c r="Y111" s="50">
        <v>193.143</v>
      </c>
      <c r="Z111" s="50">
        <v>185.44399999999999</v>
      </c>
      <c r="AA111" s="50">
        <v>179.80199999999999</v>
      </c>
      <c r="AB111" s="50">
        <v>182.852</v>
      </c>
      <c r="AC111" s="50">
        <v>186.101</v>
      </c>
      <c r="AD111" s="50">
        <v>186.97499999999999</v>
      </c>
    </row>
    <row r="112" spans="1:30" x14ac:dyDescent="0.25">
      <c r="A112" s="50">
        <f t="shared" si="26"/>
        <v>111</v>
      </c>
      <c r="B112" s="50">
        <v>500</v>
      </c>
      <c r="C112" s="50">
        <v>35.503999999999998</v>
      </c>
      <c r="D112" s="50">
        <v>39.665999999999997</v>
      </c>
      <c r="E112" s="50">
        <v>41.429000000000002</v>
      </c>
      <c r="F112" s="50">
        <v>48.575000000000003</v>
      </c>
      <c r="G112" s="50">
        <v>52.225000000000001</v>
      </c>
      <c r="H112" s="50">
        <v>60.701999999999998</v>
      </c>
      <c r="I112" s="50">
        <v>66.94</v>
      </c>
      <c r="J112" s="50">
        <v>74.123999999999995</v>
      </c>
      <c r="K112" s="50">
        <v>83.251999999999995</v>
      </c>
      <c r="L112" s="50">
        <v>89.040999999999997</v>
      </c>
      <c r="M112" s="50">
        <v>96.474999999999994</v>
      </c>
      <c r="N112" s="50">
        <v>104.764</v>
      </c>
      <c r="O112" s="50">
        <v>114.896</v>
      </c>
      <c r="P112" s="50">
        <v>121.181</v>
      </c>
      <c r="Q112" s="50">
        <v>132.33600000000001</v>
      </c>
      <c r="R112" s="50">
        <v>144.65299999999999</v>
      </c>
      <c r="S112" s="50">
        <v>144.333</v>
      </c>
      <c r="T112" s="50">
        <v>151.65899999999999</v>
      </c>
      <c r="U112" s="50">
        <v>158.49199999999999</v>
      </c>
      <c r="V112" s="50">
        <v>168.21</v>
      </c>
      <c r="W112" s="50">
        <v>177.15</v>
      </c>
      <c r="X112" s="50">
        <v>187.64599999999999</v>
      </c>
      <c r="Y112" s="50">
        <v>202.65100000000001</v>
      </c>
      <c r="Z112" s="50">
        <v>207.577</v>
      </c>
      <c r="AA112" s="50">
        <v>210.06200000000001</v>
      </c>
      <c r="AB112" s="50">
        <v>216.542</v>
      </c>
      <c r="AC112" s="50">
        <v>232.709</v>
      </c>
      <c r="AD112" s="50">
        <v>241.31</v>
      </c>
    </row>
    <row r="113" spans="1:30" x14ac:dyDescent="0.25">
      <c r="A113" s="50">
        <f t="shared" si="26"/>
        <v>112</v>
      </c>
      <c r="B113" s="50">
        <v>500</v>
      </c>
      <c r="C113" s="50">
        <v>77.501000000000005</v>
      </c>
      <c r="D113" s="50">
        <v>86.337999999999994</v>
      </c>
      <c r="E113" s="50">
        <v>90.506</v>
      </c>
      <c r="F113" s="50">
        <v>105.578</v>
      </c>
      <c r="G113" s="50">
        <v>113.045</v>
      </c>
      <c r="H113" s="50">
        <v>131.99</v>
      </c>
      <c r="I113" s="50">
        <v>145.69999999999999</v>
      </c>
      <c r="J113" s="50">
        <v>161.726</v>
      </c>
      <c r="K113" s="50">
        <v>181.48699999999999</v>
      </c>
      <c r="L113" s="50">
        <v>194.18</v>
      </c>
      <c r="M113" s="50">
        <v>212.97399999999999</v>
      </c>
      <c r="N113" s="50">
        <v>232.66200000000001</v>
      </c>
      <c r="O113" s="50">
        <v>253.86600000000001</v>
      </c>
      <c r="P113" s="50">
        <v>272.83699999999999</v>
      </c>
      <c r="Q113" s="50">
        <v>306.91699999999997</v>
      </c>
      <c r="R113" s="50">
        <v>333.51299999999998</v>
      </c>
      <c r="S113" s="50">
        <v>323.23200000000003</v>
      </c>
      <c r="T113" s="50">
        <v>339.03399999999999</v>
      </c>
      <c r="U113" s="50">
        <v>354.786</v>
      </c>
      <c r="V113" s="50">
        <v>375.34300000000002</v>
      </c>
      <c r="W113" s="50">
        <v>388.68799999999999</v>
      </c>
      <c r="X113" s="50">
        <v>398.25200000000001</v>
      </c>
      <c r="Y113" s="50">
        <v>419.75799999999998</v>
      </c>
      <c r="Z113" s="50">
        <v>422.57600000000002</v>
      </c>
      <c r="AA113" s="50">
        <v>428.33600000000001</v>
      </c>
      <c r="AB113" s="50">
        <v>452.39</v>
      </c>
      <c r="AC113" s="50">
        <v>486.09100000000001</v>
      </c>
      <c r="AD113" s="50">
        <v>513.33900000000006</v>
      </c>
    </row>
    <row r="114" spans="1:30" x14ac:dyDescent="0.25">
      <c r="A114" s="50">
        <f t="shared" si="26"/>
        <v>113</v>
      </c>
      <c r="B114" s="50">
        <v>500</v>
      </c>
      <c r="C114" s="50">
        <v>14.867000000000001</v>
      </c>
      <c r="D114" s="50">
        <v>16.542999999999999</v>
      </c>
      <c r="E114" s="50">
        <v>17.605</v>
      </c>
      <c r="F114" s="50">
        <v>21.346</v>
      </c>
      <c r="G114" s="50">
        <v>23.023</v>
      </c>
      <c r="H114" s="50">
        <v>27.084</v>
      </c>
      <c r="I114" s="50">
        <v>29.92</v>
      </c>
      <c r="J114" s="50">
        <v>32.612000000000002</v>
      </c>
      <c r="K114" s="50">
        <v>36.362000000000002</v>
      </c>
      <c r="L114" s="50">
        <v>39.673999999999999</v>
      </c>
      <c r="M114" s="50">
        <v>44.100999999999999</v>
      </c>
      <c r="N114" s="50">
        <v>48.664999999999999</v>
      </c>
      <c r="O114" s="50">
        <v>53.75</v>
      </c>
      <c r="P114" s="50">
        <v>57.527999999999999</v>
      </c>
      <c r="Q114" s="50">
        <v>62.847000000000001</v>
      </c>
      <c r="R114" s="50">
        <v>68.507999999999996</v>
      </c>
      <c r="S114" s="50">
        <v>68.043000000000006</v>
      </c>
      <c r="T114" s="50">
        <v>72.558999999999997</v>
      </c>
      <c r="U114" s="50">
        <v>75.599999999999994</v>
      </c>
      <c r="V114" s="50">
        <v>80.772000000000006</v>
      </c>
      <c r="W114" s="50">
        <v>82.659000000000006</v>
      </c>
      <c r="X114" s="50">
        <v>85.686999999999998</v>
      </c>
      <c r="Y114" s="50">
        <v>92.754999999999995</v>
      </c>
      <c r="Z114" s="50">
        <v>94.406999999999996</v>
      </c>
      <c r="AA114" s="50">
        <v>96.281000000000006</v>
      </c>
      <c r="AB114" s="50">
        <v>101.705</v>
      </c>
      <c r="AC114" s="50">
        <v>106.831</v>
      </c>
      <c r="AD114" s="50">
        <v>112.65</v>
      </c>
    </row>
    <row r="115" spans="1:30" x14ac:dyDescent="0.25">
      <c r="A115" s="50">
        <f t="shared" si="26"/>
        <v>114</v>
      </c>
      <c r="B115" s="50">
        <v>500</v>
      </c>
      <c r="C115" s="50">
        <v>4.0650000000000004</v>
      </c>
      <c r="D115" s="50">
        <v>4.5179999999999998</v>
      </c>
      <c r="E115" s="50">
        <v>4.5999999999999996</v>
      </c>
      <c r="F115" s="50">
        <v>5.3840000000000003</v>
      </c>
      <c r="G115" s="50">
        <v>5.85</v>
      </c>
      <c r="H115" s="50">
        <v>6.8639999999999999</v>
      </c>
      <c r="I115" s="50">
        <v>7.5369999999999999</v>
      </c>
      <c r="J115" s="50">
        <v>8.2129999999999992</v>
      </c>
      <c r="K115" s="50">
        <v>8.9480000000000004</v>
      </c>
      <c r="L115" s="50">
        <v>9.5310000000000006</v>
      </c>
      <c r="M115" s="50">
        <v>10.494999999999999</v>
      </c>
      <c r="N115" s="50">
        <v>11.726000000000001</v>
      </c>
      <c r="O115" s="50">
        <v>13.292</v>
      </c>
      <c r="P115" s="50">
        <v>15.311999999999999</v>
      </c>
      <c r="Q115" s="50">
        <v>17.449000000000002</v>
      </c>
      <c r="R115" s="50">
        <v>18.984999999999999</v>
      </c>
      <c r="S115" s="50">
        <v>18.050999999999998</v>
      </c>
      <c r="T115" s="50">
        <v>18.146999999999998</v>
      </c>
      <c r="U115" s="50">
        <v>18.725000000000001</v>
      </c>
      <c r="V115" s="50">
        <v>20.459</v>
      </c>
      <c r="W115" s="50">
        <v>21.655000000000001</v>
      </c>
      <c r="X115" s="50">
        <v>22.731000000000002</v>
      </c>
      <c r="Y115" s="50">
        <v>23.831</v>
      </c>
      <c r="Z115" s="50">
        <v>23.390999999999998</v>
      </c>
      <c r="AA115" s="50">
        <v>22.73</v>
      </c>
      <c r="AB115" s="50">
        <v>24.21</v>
      </c>
      <c r="AC115" s="50">
        <v>26.31</v>
      </c>
      <c r="AD115" s="50">
        <v>28.2</v>
      </c>
    </row>
    <row r="116" spans="1:30" x14ac:dyDescent="0.25">
      <c r="A116" s="50">
        <f t="shared" si="26"/>
        <v>115</v>
      </c>
      <c r="B116" s="50">
        <v>500</v>
      </c>
      <c r="C116" s="50">
        <v>30.161999999999999</v>
      </c>
      <c r="D116" s="50">
        <v>33.497999999999998</v>
      </c>
      <c r="E116" s="50">
        <v>34.941000000000003</v>
      </c>
      <c r="F116" s="50">
        <v>41.651000000000003</v>
      </c>
      <c r="G116" s="50">
        <v>45.070999999999998</v>
      </c>
      <c r="H116" s="50">
        <v>52.575000000000003</v>
      </c>
      <c r="I116" s="50">
        <v>57.988999999999997</v>
      </c>
      <c r="J116" s="50">
        <v>63.77</v>
      </c>
      <c r="K116" s="50">
        <v>71.486000000000004</v>
      </c>
      <c r="L116" s="50">
        <v>76.207999999999998</v>
      </c>
      <c r="M116" s="50">
        <v>82.317999999999998</v>
      </c>
      <c r="N116" s="50">
        <v>87.947999999999993</v>
      </c>
      <c r="O116" s="50">
        <v>93.885999999999996</v>
      </c>
      <c r="P116" s="50">
        <v>97.070999999999998</v>
      </c>
      <c r="Q116" s="50">
        <v>103.977</v>
      </c>
      <c r="R116" s="50">
        <v>111.64100000000001</v>
      </c>
      <c r="S116" s="50">
        <v>108.426</v>
      </c>
      <c r="T116" s="50">
        <v>114.03100000000001</v>
      </c>
      <c r="U116" s="50">
        <v>118.69</v>
      </c>
      <c r="V116" s="50">
        <v>125.09</v>
      </c>
      <c r="W116" s="50">
        <v>118.92400000000001</v>
      </c>
      <c r="X116" s="50">
        <v>114.605</v>
      </c>
      <c r="Y116" s="50">
        <v>112.402</v>
      </c>
      <c r="Z116" s="50">
        <v>105.56399999999999</v>
      </c>
      <c r="AA116" s="50">
        <v>99.046999999999997</v>
      </c>
      <c r="AB116" s="50">
        <v>105.224</v>
      </c>
      <c r="AC116" s="50">
        <v>114.483</v>
      </c>
      <c r="AD116" s="50">
        <v>121.158</v>
      </c>
    </row>
    <row r="117" spans="1:30" x14ac:dyDescent="0.25">
      <c r="A117" s="50">
        <f t="shared" si="26"/>
        <v>116</v>
      </c>
      <c r="B117" s="50">
        <v>500</v>
      </c>
      <c r="C117" s="50">
        <v>4.6909999999999998</v>
      </c>
      <c r="D117" s="50">
        <v>5.4180000000000001</v>
      </c>
      <c r="E117" s="50">
        <v>5.8979999999999997</v>
      </c>
      <c r="F117" s="50">
        <v>7.2569999999999997</v>
      </c>
      <c r="G117" s="50">
        <v>8.1920000000000002</v>
      </c>
      <c r="H117" s="50">
        <v>9.9469999999999992</v>
      </c>
      <c r="I117" s="50">
        <v>11.367000000000001</v>
      </c>
      <c r="J117" s="50">
        <v>12.907</v>
      </c>
      <c r="K117" s="50">
        <v>15.092000000000001</v>
      </c>
      <c r="L117" s="50">
        <v>16.879000000000001</v>
      </c>
      <c r="M117" s="50">
        <v>18.812999999999999</v>
      </c>
      <c r="N117" s="50">
        <v>21.404</v>
      </c>
      <c r="O117" s="50">
        <v>24.074000000000002</v>
      </c>
      <c r="P117" s="50">
        <v>25.638999999999999</v>
      </c>
      <c r="Q117" s="50">
        <v>28.927</v>
      </c>
      <c r="R117" s="50">
        <v>32.844999999999999</v>
      </c>
      <c r="S117" s="50">
        <v>33.372999999999998</v>
      </c>
      <c r="T117" s="50">
        <v>35.566000000000003</v>
      </c>
      <c r="U117" s="50">
        <v>38.04</v>
      </c>
      <c r="V117" s="50">
        <v>42.188000000000002</v>
      </c>
      <c r="W117" s="50">
        <v>44.478000000000002</v>
      </c>
      <c r="X117" s="50">
        <v>47.094999999999999</v>
      </c>
      <c r="Y117" s="50">
        <v>50.920999999999999</v>
      </c>
      <c r="Z117" s="50">
        <v>51.524000000000001</v>
      </c>
      <c r="AA117" s="50">
        <v>51.146999999999998</v>
      </c>
      <c r="AB117" s="50">
        <v>56.453000000000003</v>
      </c>
      <c r="AC117" s="50">
        <v>64.233999999999995</v>
      </c>
      <c r="AD117" s="50">
        <v>70.613</v>
      </c>
    </row>
    <row r="118" spans="1:30" x14ac:dyDescent="0.25">
      <c r="A118" s="50">
        <f t="shared" si="26"/>
        <v>117</v>
      </c>
      <c r="B118" s="50">
        <v>500</v>
      </c>
      <c r="C118" s="50">
        <v>13.972</v>
      </c>
      <c r="D118" s="50">
        <v>15.823</v>
      </c>
      <c r="E118" s="50">
        <v>16.725000000000001</v>
      </c>
      <c r="F118" s="50">
        <v>19.797999999999998</v>
      </c>
      <c r="G118" s="50">
        <v>21.550999999999998</v>
      </c>
      <c r="H118" s="50">
        <v>25.056000000000001</v>
      </c>
      <c r="I118" s="50">
        <v>28.434999999999999</v>
      </c>
      <c r="J118" s="50">
        <v>32.607999999999997</v>
      </c>
      <c r="K118" s="50">
        <v>37.597000000000001</v>
      </c>
      <c r="L118" s="50">
        <v>40.57</v>
      </c>
      <c r="M118" s="50">
        <v>45.209000000000003</v>
      </c>
      <c r="N118" s="50">
        <v>50.712000000000003</v>
      </c>
      <c r="O118" s="50">
        <v>56.822000000000003</v>
      </c>
      <c r="P118" s="50">
        <v>62.732999999999997</v>
      </c>
      <c r="Q118" s="50">
        <v>70.585999999999999</v>
      </c>
      <c r="R118" s="50">
        <v>79.218999999999994</v>
      </c>
      <c r="S118" s="50">
        <v>80.691999999999993</v>
      </c>
      <c r="T118" s="50">
        <v>89.040999999999997</v>
      </c>
      <c r="U118" s="50">
        <v>97.77</v>
      </c>
      <c r="V118" s="50">
        <v>108.208</v>
      </c>
      <c r="W118" s="50">
        <v>115.935</v>
      </c>
      <c r="X118" s="50">
        <v>122.679</v>
      </c>
      <c r="Y118" s="50">
        <v>132.874</v>
      </c>
      <c r="Z118" s="50">
        <v>136.49100000000001</v>
      </c>
      <c r="AA118" s="50">
        <v>141.53899999999999</v>
      </c>
      <c r="AB118" s="50">
        <v>152.49600000000001</v>
      </c>
      <c r="AC118" s="50">
        <v>165.613</v>
      </c>
      <c r="AD118" s="50">
        <v>177.38800000000001</v>
      </c>
    </row>
    <row r="119" spans="1:30" x14ac:dyDescent="0.25">
      <c r="A119" s="50">
        <f t="shared" si="26"/>
        <v>118</v>
      </c>
      <c r="B119" s="50">
        <v>500</v>
      </c>
      <c r="C119" s="50">
        <v>3.35</v>
      </c>
      <c r="D119" s="50">
        <v>3.7829999999999999</v>
      </c>
      <c r="E119" s="50">
        <v>4.0220000000000002</v>
      </c>
      <c r="F119" s="50">
        <v>4.843</v>
      </c>
      <c r="G119" s="50">
        <v>5.3040000000000003</v>
      </c>
      <c r="H119" s="50">
        <v>6.2009999999999996</v>
      </c>
      <c r="I119" s="50">
        <v>6.8659999999999997</v>
      </c>
      <c r="J119" s="50">
        <v>7.5049999999999999</v>
      </c>
      <c r="K119" s="50">
        <v>8.4450000000000003</v>
      </c>
      <c r="L119" s="50">
        <v>9.1270000000000007</v>
      </c>
      <c r="M119" s="50">
        <v>10.079000000000001</v>
      </c>
      <c r="N119" s="50">
        <v>11.034000000000001</v>
      </c>
      <c r="O119" s="50">
        <v>12.164999999999999</v>
      </c>
      <c r="P119" s="50">
        <v>13.077999999999999</v>
      </c>
      <c r="Q119" s="50">
        <v>14.452</v>
      </c>
      <c r="R119" s="50">
        <v>16.082999999999998</v>
      </c>
      <c r="S119" s="50">
        <v>15.762</v>
      </c>
      <c r="T119" s="50">
        <v>16.986000000000001</v>
      </c>
      <c r="U119" s="50">
        <v>18.292000000000002</v>
      </c>
      <c r="V119" s="50">
        <v>20.038</v>
      </c>
      <c r="W119" s="50">
        <v>19.852</v>
      </c>
      <c r="X119" s="50">
        <v>18.780999999999999</v>
      </c>
      <c r="Y119" s="50">
        <v>17.588000000000001</v>
      </c>
      <c r="Z119" s="50">
        <v>15.609</v>
      </c>
      <c r="AA119" s="50">
        <v>14.227</v>
      </c>
      <c r="AB119" s="50">
        <v>15.426</v>
      </c>
      <c r="AC119" s="50">
        <v>17.303000000000001</v>
      </c>
      <c r="AD119" s="50">
        <v>18.712</v>
      </c>
    </row>
    <row r="120" spans="1:30" x14ac:dyDescent="0.25">
      <c r="A120" s="50">
        <f t="shared" si="26"/>
        <v>119</v>
      </c>
      <c r="B120" s="50">
        <v>500</v>
      </c>
      <c r="C120" s="50">
        <v>6.883</v>
      </c>
      <c r="D120" s="50">
        <v>7.585</v>
      </c>
      <c r="E120" s="50">
        <v>7.8730000000000002</v>
      </c>
      <c r="F120" s="50">
        <v>9.3469999999999995</v>
      </c>
      <c r="G120" s="50">
        <v>9.9510000000000005</v>
      </c>
      <c r="H120" s="50">
        <v>11.515000000000001</v>
      </c>
      <c r="I120" s="50">
        <v>12.644</v>
      </c>
      <c r="J120" s="50">
        <v>13.898999999999999</v>
      </c>
      <c r="K120" s="50">
        <v>15.51</v>
      </c>
      <c r="L120" s="50">
        <v>16.762</v>
      </c>
      <c r="M120" s="50">
        <v>18.315000000000001</v>
      </c>
      <c r="N120" s="50">
        <v>20.122</v>
      </c>
      <c r="O120" s="50">
        <v>21.917999999999999</v>
      </c>
      <c r="P120" s="50">
        <v>23.317</v>
      </c>
      <c r="Q120" s="50">
        <v>25.608000000000001</v>
      </c>
      <c r="R120" s="50">
        <v>28.132000000000001</v>
      </c>
      <c r="S120" s="50">
        <v>27.802</v>
      </c>
      <c r="T120" s="50">
        <v>30.931999999999999</v>
      </c>
      <c r="U120" s="50">
        <v>33.107999999999997</v>
      </c>
      <c r="V120" s="50">
        <v>35.268000000000001</v>
      </c>
      <c r="W120" s="50">
        <v>35.176000000000002</v>
      </c>
      <c r="X120" s="50">
        <v>34.609000000000002</v>
      </c>
      <c r="Y120" s="50">
        <v>36.698</v>
      </c>
      <c r="Z120" s="50">
        <v>35.991999999999997</v>
      </c>
      <c r="AA120" s="50">
        <v>35.618000000000002</v>
      </c>
      <c r="AB120" s="50">
        <v>37.536999999999999</v>
      </c>
      <c r="AC120" s="50">
        <v>37.750999999999998</v>
      </c>
      <c r="AD120" s="50">
        <v>39.82</v>
      </c>
    </row>
    <row r="121" spans="1:30" x14ac:dyDescent="0.25">
      <c r="A121" s="50">
        <f t="shared" si="26"/>
        <v>120</v>
      </c>
      <c r="B121" s="50">
        <v>500</v>
      </c>
      <c r="C121" s="50">
        <v>38.779000000000003</v>
      </c>
      <c r="D121" s="50">
        <v>42.892000000000003</v>
      </c>
      <c r="E121" s="50">
        <v>45.533999999999999</v>
      </c>
      <c r="F121" s="50">
        <v>54.792000000000002</v>
      </c>
      <c r="G121" s="50">
        <v>59.795000000000002</v>
      </c>
      <c r="H121" s="50">
        <v>71.772000000000006</v>
      </c>
      <c r="I121" s="50">
        <v>79.622</v>
      </c>
      <c r="J121" s="50">
        <v>88.501000000000005</v>
      </c>
      <c r="K121" s="50">
        <v>100.78400000000001</v>
      </c>
      <c r="L121" s="50">
        <v>113.91</v>
      </c>
      <c r="M121" s="50">
        <v>129.30000000000001</v>
      </c>
      <c r="N121" s="50">
        <v>142.13200000000001</v>
      </c>
      <c r="O121" s="50">
        <v>158.65199999999999</v>
      </c>
      <c r="P121" s="50">
        <v>173.33500000000001</v>
      </c>
      <c r="Q121" s="50">
        <v>192.02</v>
      </c>
      <c r="R121" s="50">
        <v>210.386</v>
      </c>
      <c r="S121" s="50">
        <v>213.53700000000001</v>
      </c>
      <c r="T121" s="50">
        <v>236.077</v>
      </c>
      <c r="U121" s="50">
        <v>254.52099999999999</v>
      </c>
      <c r="V121" s="50">
        <v>273.77600000000001</v>
      </c>
      <c r="W121" s="50">
        <v>273.524</v>
      </c>
      <c r="X121" s="50">
        <v>274.47899999999998</v>
      </c>
      <c r="Y121" s="50">
        <v>293.67</v>
      </c>
      <c r="Z121" s="50">
        <v>292.70800000000003</v>
      </c>
      <c r="AA121" s="50">
        <v>295.73700000000002</v>
      </c>
      <c r="AB121" s="50">
        <v>311.25599999999997</v>
      </c>
      <c r="AC121" s="50">
        <v>323.35399999999998</v>
      </c>
      <c r="AD121" s="50">
        <v>341.661</v>
      </c>
    </row>
    <row r="122" spans="1:30" x14ac:dyDescent="0.25">
      <c r="A122" s="50">
        <f t="shared" si="26"/>
        <v>121</v>
      </c>
      <c r="B122" s="50">
        <v>500</v>
      </c>
      <c r="C122" s="50">
        <v>4.7030000000000003</v>
      </c>
      <c r="D122" s="50">
        <v>5.1769999999999996</v>
      </c>
      <c r="E122" s="50">
        <v>5.4580000000000002</v>
      </c>
      <c r="F122" s="50">
        <v>6.5750000000000002</v>
      </c>
      <c r="G122" s="50">
        <v>7.0369999999999999</v>
      </c>
      <c r="H122" s="50">
        <v>8.0890000000000004</v>
      </c>
      <c r="I122" s="50">
        <v>8.7569999999999997</v>
      </c>
      <c r="J122" s="50">
        <v>9.5760000000000005</v>
      </c>
      <c r="K122" s="50">
        <v>11.331</v>
      </c>
      <c r="L122" s="50">
        <v>12.404</v>
      </c>
      <c r="M122" s="50">
        <v>13.294</v>
      </c>
      <c r="N122" s="50">
        <v>14.180999999999999</v>
      </c>
      <c r="O122" s="50">
        <v>15.541</v>
      </c>
      <c r="P122" s="50">
        <v>16.433</v>
      </c>
      <c r="Q122" s="50">
        <v>16.916</v>
      </c>
      <c r="R122" s="50">
        <v>17.675999999999998</v>
      </c>
      <c r="S122" s="50">
        <v>17.341000000000001</v>
      </c>
      <c r="T122" s="50">
        <v>17.952000000000002</v>
      </c>
      <c r="U122" s="50">
        <v>17.806999999999999</v>
      </c>
      <c r="V122" s="50">
        <v>18.114999999999998</v>
      </c>
      <c r="W122" s="50">
        <v>17.815999999999999</v>
      </c>
      <c r="X122" s="50">
        <v>17.960999999999999</v>
      </c>
      <c r="Y122" s="50">
        <v>18.872</v>
      </c>
      <c r="Z122" s="50">
        <v>18.731999999999999</v>
      </c>
      <c r="AA122" s="50">
        <v>18.460999999999999</v>
      </c>
      <c r="AB122" s="50">
        <v>19.013999999999999</v>
      </c>
      <c r="AC122" s="50">
        <v>19.786000000000001</v>
      </c>
      <c r="AD122" s="50">
        <v>20.140999999999998</v>
      </c>
    </row>
    <row r="123" spans="1:30" x14ac:dyDescent="0.25">
      <c r="A123" s="50">
        <f t="shared" si="26"/>
        <v>122</v>
      </c>
      <c r="B123" s="50">
        <v>500</v>
      </c>
      <c r="C123" s="50">
        <v>2.3780000000000001</v>
      </c>
      <c r="D123" s="50">
        <v>2.8250000000000002</v>
      </c>
      <c r="E123" s="50">
        <v>3.0579999999999998</v>
      </c>
      <c r="F123" s="50">
        <v>3.5579999999999998</v>
      </c>
      <c r="G123" s="50">
        <v>3.9620000000000002</v>
      </c>
      <c r="H123" s="50">
        <v>4.6500000000000004</v>
      </c>
      <c r="I123" s="50">
        <v>5.2539999999999996</v>
      </c>
      <c r="J123" s="50">
        <v>5.7080000000000002</v>
      </c>
      <c r="K123" s="50">
        <v>6.1920000000000002</v>
      </c>
      <c r="L123" s="50">
        <v>6.4580000000000002</v>
      </c>
      <c r="M123" s="50">
        <v>7.34</v>
      </c>
      <c r="N123" s="50">
        <v>8.01</v>
      </c>
      <c r="O123" s="50">
        <v>9.0980000000000008</v>
      </c>
      <c r="P123" s="50">
        <v>9.8409999999999993</v>
      </c>
      <c r="Q123" s="50">
        <v>10.635</v>
      </c>
      <c r="R123" s="50">
        <v>11.706</v>
      </c>
      <c r="S123" s="50">
        <v>12.102</v>
      </c>
      <c r="T123" s="50">
        <v>13.795999999999999</v>
      </c>
      <c r="U123" s="50">
        <v>14.023999999999999</v>
      </c>
      <c r="V123" s="50">
        <v>14.483000000000001</v>
      </c>
      <c r="W123" s="50">
        <v>14.757</v>
      </c>
      <c r="X123" s="50">
        <v>15.003</v>
      </c>
      <c r="Y123" s="50">
        <v>16.285</v>
      </c>
      <c r="Z123" s="50">
        <v>15.984</v>
      </c>
      <c r="AA123" s="50">
        <v>16.076000000000001</v>
      </c>
      <c r="AB123" s="50">
        <v>16.939</v>
      </c>
      <c r="AC123" s="50">
        <v>17.608000000000001</v>
      </c>
      <c r="AD123" s="50">
        <v>18.478000000000002</v>
      </c>
    </row>
    <row r="124" spans="1:30" x14ac:dyDescent="0.25">
      <c r="A124" s="50">
        <f t="shared" si="26"/>
        <v>123</v>
      </c>
      <c r="B124" s="50">
        <v>500</v>
      </c>
      <c r="C124" s="50">
        <v>592.70399999999995</v>
      </c>
      <c r="D124" s="50">
        <v>641.33900000000006</v>
      </c>
      <c r="E124" s="50">
        <v>704.64200000000005</v>
      </c>
      <c r="F124" s="50">
        <v>739.202</v>
      </c>
      <c r="G124" s="50">
        <v>807.572</v>
      </c>
      <c r="H124" s="50">
        <v>865.37900000000002</v>
      </c>
      <c r="I124" s="50">
        <v>932.65</v>
      </c>
      <c r="J124" s="50">
        <v>1003.177</v>
      </c>
      <c r="K124" s="50">
        <v>1088.45</v>
      </c>
      <c r="L124" s="50">
        <v>1182.4380000000001</v>
      </c>
      <c r="M124" s="50">
        <v>1306.5260000000001</v>
      </c>
      <c r="N124" s="50">
        <v>1438.8340000000001</v>
      </c>
      <c r="O124" s="50">
        <v>1561.12</v>
      </c>
      <c r="P124" s="50">
        <v>1652.078</v>
      </c>
      <c r="Q124" s="50">
        <v>1758.489</v>
      </c>
      <c r="R124" s="50">
        <v>1907.2429999999999</v>
      </c>
      <c r="S124" s="50">
        <v>1940.78</v>
      </c>
      <c r="T124" s="50">
        <v>2061.701</v>
      </c>
      <c r="U124" s="50">
        <v>2145.9549999999999</v>
      </c>
      <c r="V124" s="50">
        <v>2273.9549999999999</v>
      </c>
      <c r="W124" s="50">
        <v>2378.0479999999998</v>
      </c>
      <c r="X124" s="50">
        <v>2372.2240000000002</v>
      </c>
      <c r="Y124" s="50">
        <v>2479.0300000000002</v>
      </c>
      <c r="Z124" s="50">
        <v>2474.5700000000002</v>
      </c>
      <c r="AA124" s="50">
        <v>2495.4209999999998</v>
      </c>
      <c r="AB124" s="50">
        <v>2547.7579999999998</v>
      </c>
      <c r="AC124" s="50">
        <v>2636.326</v>
      </c>
      <c r="AD124" s="50">
        <v>2738.4479999999999</v>
      </c>
    </row>
    <row r="125" spans="1:30" x14ac:dyDescent="0.25">
      <c r="A125" s="50">
        <f t="shared" si="26"/>
        <v>124</v>
      </c>
      <c r="B125" s="50">
        <v>500</v>
      </c>
      <c r="C125" s="50">
        <v>0</v>
      </c>
      <c r="D125" s="50">
        <v>0</v>
      </c>
      <c r="E125" s="50">
        <v>0</v>
      </c>
      <c r="F125" s="50">
        <v>0</v>
      </c>
      <c r="G125" s="50">
        <v>0</v>
      </c>
      <c r="H125" s="50">
        <v>0</v>
      </c>
      <c r="I125" s="50">
        <v>0</v>
      </c>
      <c r="J125" s="50">
        <v>0</v>
      </c>
      <c r="K125" s="50">
        <v>0</v>
      </c>
      <c r="L125" s="50">
        <v>0</v>
      </c>
      <c r="M125" s="50">
        <v>0</v>
      </c>
      <c r="N125" s="50">
        <v>0</v>
      </c>
      <c r="O125" s="50">
        <v>0</v>
      </c>
      <c r="P125" s="50">
        <v>0</v>
      </c>
      <c r="Q125" s="50">
        <v>0</v>
      </c>
      <c r="R125" s="50">
        <v>0</v>
      </c>
      <c r="S125" s="50">
        <v>0</v>
      </c>
      <c r="T125" s="50">
        <v>0</v>
      </c>
      <c r="U125" s="50">
        <v>0</v>
      </c>
      <c r="V125" s="50">
        <v>0</v>
      </c>
      <c r="W125" s="50">
        <v>0</v>
      </c>
      <c r="X125" s="50">
        <v>0</v>
      </c>
      <c r="Y125" s="50">
        <v>0</v>
      </c>
      <c r="Z125" s="50">
        <v>0</v>
      </c>
      <c r="AA125" s="50">
        <v>0</v>
      </c>
      <c r="AB125" s="50">
        <v>0</v>
      </c>
      <c r="AC125" s="50">
        <v>0</v>
      </c>
      <c r="AD125" s="50">
        <v>0</v>
      </c>
    </row>
    <row r="126" spans="1:30" x14ac:dyDescent="0.25">
      <c r="A126" s="50">
        <f t="shared" si="26"/>
        <v>125</v>
      </c>
      <c r="B126" s="50">
        <v>500</v>
      </c>
      <c r="C126" s="50">
        <v>0</v>
      </c>
      <c r="D126" s="50">
        <v>0</v>
      </c>
      <c r="E126" s="50">
        <v>0</v>
      </c>
      <c r="F126" s="50">
        <v>0</v>
      </c>
      <c r="G126" s="50">
        <v>0</v>
      </c>
      <c r="H126" s="50">
        <v>0</v>
      </c>
      <c r="I126" s="50">
        <v>0</v>
      </c>
      <c r="J126" s="50">
        <v>0</v>
      </c>
      <c r="K126" s="50">
        <v>0</v>
      </c>
      <c r="L126" s="50">
        <v>0</v>
      </c>
      <c r="M126" s="50">
        <v>0</v>
      </c>
      <c r="N126" s="50">
        <v>0</v>
      </c>
      <c r="O126" s="50">
        <v>0</v>
      </c>
      <c r="P126" s="50">
        <v>0</v>
      </c>
      <c r="Q126" s="50">
        <v>0</v>
      </c>
      <c r="R126" s="50">
        <v>0</v>
      </c>
      <c r="S126" s="50">
        <v>0</v>
      </c>
      <c r="T126" s="50">
        <v>0</v>
      </c>
      <c r="U126" s="50">
        <v>0</v>
      </c>
      <c r="V126" s="50">
        <v>0</v>
      </c>
      <c r="W126" s="50">
        <v>0</v>
      </c>
      <c r="X126" s="50">
        <v>0</v>
      </c>
      <c r="Y126" s="50">
        <v>0</v>
      </c>
      <c r="Z126" s="50">
        <v>0</v>
      </c>
      <c r="AA126" s="50">
        <v>0</v>
      </c>
      <c r="AB126" s="50">
        <v>0</v>
      </c>
      <c r="AC126" s="50">
        <v>0</v>
      </c>
      <c r="AD126" s="50">
        <v>0</v>
      </c>
    </row>
    <row r="127" spans="1:30" x14ac:dyDescent="0.25">
      <c r="A127" s="50">
        <f t="shared" si="26"/>
        <v>126</v>
      </c>
      <c r="B127" s="50">
        <v>500</v>
      </c>
      <c r="C127" s="50">
        <v>0</v>
      </c>
      <c r="D127" s="50">
        <v>0</v>
      </c>
      <c r="E127" s="50">
        <v>0</v>
      </c>
      <c r="F127" s="50">
        <v>0</v>
      </c>
      <c r="G127" s="50">
        <v>0</v>
      </c>
      <c r="H127" s="50">
        <v>0</v>
      </c>
      <c r="I127" s="50">
        <v>0</v>
      </c>
      <c r="J127" s="50">
        <v>0</v>
      </c>
      <c r="K127" s="50">
        <v>0</v>
      </c>
      <c r="L127" s="50">
        <v>0</v>
      </c>
      <c r="M127" s="50">
        <v>0</v>
      </c>
      <c r="N127" s="50">
        <v>0</v>
      </c>
      <c r="O127" s="50">
        <v>0</v>
      </c>
      <c r="P127" s="50">
        <v>0</v>
      </c>
      <c r="Q127" s="50">
        <v>0</v>
      </c>
      <c r="R127" s="50">
        <v>0</v>
      </c>
      <c r="S127" s="50">
        <v>0</v>
      </c>
      <c r="T127" s="50">
        <v>0</v>
      </c>
      <c r="U127" s="50">
        <v>0</v>
      </c>
      <c r="V127" s="50">
        <v>0</v>
      </c>
      <c r="W127" s="50">
        <v>0</v>
      </c>
      <c r="X127" s="50">
        <v>0</v>
      </c>
      <c r="Y127" s="50">
        <v>0</v>
      </c>
      <c r="Z127" s="50">
        <v>0</v>
      </c>
      <c r="AA127" s="50">
        <v>0</v>
      </c>
      <c r="AB127" s="50">
        <v>0</v>
      </c>
      <c r="AC127" s="50">
        <v>0</v>
      </c>
      <c r="AD127" s="50">
        <v>0</v>
      </c>
    </row>
    <row r="128" spans="1:30" x14ac:dyDescent="0.25">
      <c r="A128" s="50">
        <f t="shared" si="26"/>
        <v>127</v>
      </c>
      <c r="B128" s="50">
        <v>500</v>
      </c>
      <c r="C128" s="50">
        <v>0</v>
      </c>
      <c r="D128" s="50">
        <v>0</v>
      </c>
      <c r="E128" s="50">
        <v>0</v>
      </c>
      <c r="F128" s="50">
        <v>0</v>
      </c>
      <c r="G128" s="50">
        <v>0</v>
      </c>
      <c r="H128" s="50">
        <v>0</v>
      </c>
      <c r="I128" s="50">
        <v>0</v>
      </c>
      <c r="J128" s="50">
        <v>0</v>
      </c>
      <c r="K128" s="50">
        <v>0</v>
      </c>
      <c r="L128" s="50">
        <v>0</v>
      </c>
      <c r="M128" s="50">
        <v>0</v>
      </c>
      <c r="N128" s="50">
        <v>0</v>
      </c>
      <c r="O128" s="50">
        <v>0</v>
      </c>
      <c r="P128" s="50">
        <v>0</v>
      </c>
      <c r="Q128" s="50">
        <v>0</v>
      </c>
      <c r="R128" s="50">
        <v>0</v>
      </c>
      <c r="S128" s="50">
        <v>0</v>
      </c>
      <c r="T128" s="50">
        <v>0</v>
      </c>
      <c r="U128" s="50">
        <v>0</v>
      </c>
      <c r="V128" s="50">
        <v>0</v>
      </c>
      <c r="W128" s="50">
        <v>0</v>
      </c>
      <c r="X128" s="50">
        <v>0</v>
      </c>
      <c r="Y128" s="50">
        <v>0</v>
      </c>
      <c r="Z128" s="50">
        <v>0</v>
      </c>
      <c r="AA128" s="50">
        <v>0</v>
      </c>
      <c r="AB128" s="50">
        <v>0</v>
      </c>
      <c r="AC128" s="50">
        <v>0</v>
      </c>
      <c r="AD128" s="50">
        <v>0</v>
      </c>
    </row>
    <row r="129" spans="1:30" x14ac:dyDescent="0.25">
      <c r="A129" s="50">
        <f t="shared" si="26"/>
        <v>128</v>
      </c>
      <c r="B129" s="50">
        <v>500</v>
      </c>
      <c r="C129" s="50">
        <v>20.782</v>
      </c>
      <c r="D129" s="50">
        <v>21.76</v>
      </c>
      <c r="E129" s="50">
        <v>22.113</v>
      </c>
      <c r="F129" s="50">
        <v>26.823</v>
      </c>
      <c r="G129" s="50">
        <v>30.116</v>
      </c>
      <c r="H129" s="50">
        <v>33.543999999999997</v>
      </c>
      <c r="I129" s="50">
        <v>36.229999999999997</v>
      </c>
      <c r="J129" s="50">
        <v>38.518000000000001</v>
      </c>
      <c r="K129" s="50">
        <v>47.878</v>
      </c>
      <c r="L129" s="50">
        <v>54.295999999999999</v>
      </c>
      <c r="M129" s="50">
        <v>58.287999999999997</v>
      </c>
      <c r="N129" s="50">
        <v>60.554000000000002</v>
      </c>
      <c r="O129" s="50">
        <v>58.734999999999999</v>
      </c>
      <c r="P129" s="50">
        <v>54.814999999999998</v>
      </c>
      <c r="Q129" s="50">
        <v>51.228999999999999</v>
      </c>
      <c r="R129" s="50">
        <v>51.444000000000003</v>
      </c>
      <c r="S129" s="50">
        <v>47.616</v>
      </c>
      <c r="T129" s="50">
        <v>49.164999999999999</v>
      </c>
      <c r="U129" s="50">
        <v>48.987000000000002</v>
      </c>
      <c r="V129" s="50">
        <v>49.889000000000003</v>
      </c>
      <c r="W129" s="50">
        <v>48.176000000000002</v>
      </c>
      <c r="X129" s="50">
        <v>46.915999999999997</v>
      </c>
      <c r="Y129" s="50">
        <v>49.277000000000001</v>
      </c>
      <c r="Z129" s="50">
        <v>49.665999999999997</v>
      </c>
      <c r="AA129" s="50">
        <v>50.636000000000003</v>
      </c>
      <c r="AB129" s="50">
        <v>52.642000000000003</v>
      </c>
      <c r="AC129" s="50">
        <v>53.96</v>
      </c>
      <c r="AD129" s="50">
        <v>54.942999999999998</v>
      </c>
    </row>
    <row r="130" spans="1:30" x14ac:dyDescent="0.25">
      <c r="A130" s="50">
        <f t="shared" si="26"/>
        <v>129</v>
      </c>
      <c r="B130" s="50">
        <v>500</v>
      </c>
      <c r="C130" s="50">
        <v>12.125999999999999</v>
      </c>
      <c r="D130" s="50">
        <v>13.276</v>
      </c>
      <c r="E130" s="50">
        <v>13.983000000000001</v>
      </c>
      <c r="F130" s="50">
        <v>16.466999999999999</v>
      </c>
      <c r="G130" s="50">
        <v>17.934999999999999</v>
      </c>
      <c r="H130" s="50">
        <v>20.734999999999999</v>
      </c>
      <c r="I130" s="50">
        <v>22.068000000000001</v>
      </c>
      <c r="J130" s="50">
        <v>23.780999999999999</v>
      </c>
      <c r="K130" s="50">
        <v>27.222999999999999</v>
      </c>
      <c r="L130" s="50">
        <v>30.391999999999999</v>
      </c>
      <c r="M130" s="50">
        <v>32.4</v>
      </c>
      <c r="N130" s="50">
        <v>33.697000000000003</v>
      </c>
      <c r="O130" s="50">
        <v>35.082999999999998</v>
      </c>
      <c r="P130" s="50">
        <v>36.701000000000001</v>
      </c>
      <c r="Q130" s="50">
        <v>39.088999999999999</v>
      </c>
      <c r="R130" s="50">
        <v>40.433999999999997</v>
      </c>
      <c r="S130" s="50">
        <v>39.838999999999999</v>
      </c>
      <c r="T130" s="50">
        <v>42.481000000000002</v>
      </c>
      <c r="U130" s="50">
        <v>43.377000000000002</v>
      </c>
      <c r="V130" s="50">
        <v>44.451999999999998</v>
      </c>
      <c r="W130" s="50">
        <v>43.923000000000002</v>
      </c>
      <c r="X130" s="50">
        <v>43.335999999999999</v>
      </c>
      <c r="Y130" s="50">
        <v>45.930999999999997</v>
      </c>
      <c r="Z130" s="50">
        <v>44.542999999999999</v>
      </c>
      <c r="AA130" s="50">
        <v>44.475000000000001</v>
      </c>
      <c r="AB130" s="50">
        <v>46.304000000000002</v>
      </c>
      <c r="AC130" s="50">
        <v>47.866</v>
      </c>
      <c r="AD130" s="50">
        <v>48.994</v>
      </c>
    </row>
    <row r="131" spans="1:30" x14ac:dyDescent="0.25">
      <c r="A131" s="50">
        <f t="shared" si="26"/>
        <v>130</v>
      </c>
      <c r="B131" s="50">
        <v>500</v>
      </c>
      <c r="C131" s="50">
        <v>35.68</v>
      </c>
      <c r="D131" s="50">
        <v>39.683</v>
      </c>
      <c r="E131" s="50">
        <v>42.368000000000002</v>
      </c>
      <c r="F131" s="50">
        <v>52.378999999999998</v>
      </c>
      <c r="G131" s="50">
        <v>56.524000000000001</v>
      </c>
      <c r="H131" s="50">
        <v>67.637</v>
      </c>
      <c r="I131" s="50">
        <v>76.438999999999993</v>
      </c>
      <c r="J131" s="50">
        <v>85.984999999999999</v>
      </c>
      <c r="K131" s="50">
        <v>98.441999999999993</v>
      </c>
      <c r="L131" s="50">
        <v>106.41</v>
      </c>
      <c r="M131" s="50">
        <v>117.866</v>
      </c>
      <c r="N131" s="50">
        <v>128.58199999999999</v>
      </c>
      <c r="O131" s="50">
        <v>143.97499999999999</v>
      </c>
      <c r="P131" s="50">
        <v>157.779</v>
      </c>
      <c r="Q131" s="50">
        <v>175.17599999999999</v>
      </c>
      <c r="R131" s="50">
        <v>191.14</v>
      </c>
      <c r="S131" s="50">
        <v>189.30600000000001</v>
      </c>
      <c r="T131" s="50">
        <v>206.17400000000001</v>
      </c>
      <c r="U131" s="50">
        <v>211.97200000000001</v>
      </c>
      <c r="V131" s="50">
        <v>220.392</v>
      </c>
      <c r="W131" s="50">
        <v>221.41499999999999</v>
      </c>
      <c r="X131" s="50">
        <v>221.977</v>
      </c>
      <c r="Y131" s="50">
        <v>234.363</v>
      </c>
      <c r="Z131" s="50">
        <v>229.88300000000001</v>
      </c>
      <c r="AA131" s="50">
        <v>228.55799999999999</v>
      </c>
      <c r="AB131" s="50">
        <v>236.126</v>
      </c>
      <c r="AC131" s="50">
        <v>243.24799999999999</v>
      </c>
      <c r="AD131" s="50">
        <v>250.24100000000001</v>
      </c>
    </row>
    <row r="132" spans="1:30" x14ac:dyDescent="0.25">
      <c r="A132" s="50">
        <f>A131+1</f>
        <v>131</v>
      </c>
      <c r="B132" s="50">
        <v>500</v>
      </c>
      <c r="C132" s="50">
        <v>0</v>
      </c>
      <c r="D132" s="50">
        <v>0</v>
      </c>
      <c r="E132" s="50">
        <v>0</v>
      </c>
      <c r="F132" s="50">
        <v>0</v>
      </c>
      <c r="G132" s="50">
        <v>0</v>
      </c>
      <c r="H132" s="50">
        <v>0</v>
      </c>
      <c r="I132" s="50">
        <v>0</v>
      </c>
      <c r="J132" s="50">
        <v>0</v>
      </c>
      <c r="K132" s="50">
        <v>0</v>
      </c>
      <c r="L132" s="50">
        <v>0</v>
      </c>
      <c r="M132" s="50">
        <v>0</v>
      </c>
      <c r="N132" s="50">
        <v>0</v>
      </c>
      <c r="O132" s="50">
        <v>0</v>
      </c>
      <c r="P132" s="50">
        <v>0</v>
      </c>
      <c r="Q132" s="50">
        <v>0</v>
      </c>
      <c r="R132" s="50">
        <v>0</v>
      </c>
      <c r="S132" s="50">
        <v>0</v>
      </c>
      <c r="T132" s="50">
        <v>0</v>
      </c>
      <c r="U132" s="50">
        <v>0</v>
      </c>
      <c r="V132" s="50">
        <v>0</v>
      </c>
      <c r="W132" s="50">
        <v>0</v>
      </c>
      <c r="X132" s="50">
        <v>0</v>
      </c>
      <c r="Y132" s="50">
        <v>0</v>
      </c>
      <c r="Z132" s="50">
        <v>0</v>
      </c>
      <c r="AA132" s="50">
        <v>0</v>
      </c>
      <c r="AB132" s="50">
        <v>0</v>
      </c>
      <c r="AC132" s="50">
        <v>0</v>
      </c>
      <c r="AD132" s="50">
        <v>0</v>
      </c>
    </row>
    <row r="133" spans="1:30" x14ac:dyDescent="0.25">
      <c r="A133" s="50">
        <f>A132+1</f>
        <v>132</v>
      </c>
      <c r="B133" s="50">
        <v>500</v>
      </c>
      <c r="C133" s="50">
        <v>0</v>
      </c>
      <c r="D133" s="50">
        <v>0</v>
      </c>
      <c r="E133" s="50">
        <v>0</v>
      </c>
      <c r="F133" s="50">
        <v>0</v>
      </c>
      <c r="G133" s="50">
        <v>0</v>
      </c>
      <c r="H133" s="50">
        <v>0</v>
      </c>
      <c r="I133" s="50">
        <v>0</v>
      </c>
      <c r="J133" s="50">
        <v>0</v>
      </c>
      <c r="K133" s="50">
        <v>0</v>
      </c>
      <c r="L133" s="50">
        <v>0</v>
      </c>
      <c r="M133" s="50">
        <v>0</v>
      </c>
      <c r="N133" s="50">
        <v>0</v>
      </c>
      <c r="O133" s="50">
        <v>0</v>
      </c>
      <c r="P133" s="50">
        <v>0</v>
      </c>
      <c r="Q133" s="50">
        <v>0</v>
      </c>
      <c r="R133" s="50">
        <v>0</v>
      </c>
      <c r="S133" s="50">
        <v>0</v>
      </c>
      <c r="T133" s="50">
        <v>0</v>
      </c>
      <c r="U133" s="50">
        <v>0</v>
      </c>
      <c r="V133" s="50">
        <v>0</v>
      </c>
      <c r="W133" s="50">
        <v>0</v>
      </c>
      <c r="X133" s="50">
        <v>0</v>
      </c>
      <c r="Y133" s="50">
        <v>0</v>
      </c>
      <c r="Z133" s="50">
        <v>0</v>
      </c>
      <c r="AA133" s="50">
        <v>0</v>
      </c>
      <c r="AB133" s="50">
        <v>0</v>
      </c>
      <c r="AC133" s="50">
        <v>0</v>
      </c>
      <c r="AD133" s="50">
        <v>0</v>
      </c>
    </row>
    <row r="135" spans="1:30" x14ac:dyDescent="0.25">
      <c r="AD135" s="50">
        <f>SUM(AD2:AD134)</f>
        <v>7820.6449999999986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W172"/>
  <sheetViews>
    <sheetView workbookViewId="0">
      <selection activeCell="C9" sqref="C9"/>
    </sheetView>
  </sheetViews>
  <sheetFormatPr defaultRowHeight="12.75" x14ac:dyDescent="0.2"/>
  <cols>
    <col min="1" max="1" width="31.5703125" customWidth="1"/>
    <col min="23" max="23" width="12.7109375" customWidth="1"/>
    <col min="24" max="29" width="9.28515625" bestFit="1" customWidth="1"/>
    <col min="30" max="34" width="9.5703125" bestFit="1" customWidth="1"/>
  </cols>
  <sheetData>
    <row r="1" spans="1:49" ht="13.5" thickBot="1" x14ac:dyDescent="0.25">
      <c r="B1">
        <v>1976</v>
      </c>
      <c r="C1">
        <f>B1+1</f>
        <v>1977</v>
      </c>
      <c r="D1">
        <f t="shared" ref="D1:Q1" si="0">C1+1</f>
        <v>1978</v>
      </c>
      <c r="E1">
        <f t="shared" si="0"/>
        <v>1979</v>
      </c>
      <c r="F1">
        <f t="shared" si="0"/>
        <v>1980</v>
      </c>
      <c r="G1">
        <f t="shared" si="0"/>
        <v>1981</v>
      </c>
      <c r="H1">
        <f t="shared" si="0"/>
        <v>1982</v>
      </c>
      <c r="I1">
        <f t="shared" si="0"/>
        <v>1983</v>
      </c>
      <c r="J1">
        <f t="shared" si="0"/>
        <v>1984</v>
      </c>
      <c r="K1">
        <f t="shared" si="0"/>
        <v>1985</v>
      </c>
      <c r="L1">
        <f t="shared" si="0"/>
        <v>1986</v>
      </c>
      <c r="M1">
        <f t="shared" si="0"/>
        <v>1987</v>
      </c>
      <c r="N1">
        <f t="shared" si="0"/>
        <v>1988</v>
      </c>
      <c r="O1">
        <f t="shared" si="0"/>
        <v>1989</v>
      </c>
      <c r="P1">
        <f t="shared" si="0"/>
        <v>1990</v>
      </c>
      <c r="Q1">
        <f t="shared" si="0"/>
        <v>1991</v>
      </c>
      <c r="S1" t="s">
        <v>2</v>
      </c>
      <c r="T1" t="s">
        <v>3</v>
      </c>
      <c r="V1" t="s">
        <v>31</v>
      </c>
      <c r="X1" s="1">
        <f>C1</f>
        <v>1977</v>
      </c>
      <c r="Y1" s="1">
        <f t="shared" ref="Y1:AH1" si="1">D1</f>
        <v>1978</v>
      </c>
      <c r="Z1" s="1">
        <f t="shared" si="1"/>
        <v>1979</v>
      </c>
      <c r="AA1" s="1">
        <f t="shared" si="1"/>
        <v>1980</v>
      </c>
      <c r="AB1" s="1">
        <f t="shared" si="1"/>
        <v>1981</v>
      </c>
      <c r="AC1" s="1">
        <f t="shared" si="1"/>
        <v>1982</v>
      </c>
      <c r="AD1" s="1">
        <f t="shared" si="1"/>
        <v>1983</v>
      </c>
      <c r="AE1" s="1">
        <f t="shared" si="1"/>
        <v>1984</v>
      </c>
      <c r="AF1" s="1">
        <f t="shared" si="1"/>
        <v>1985</v>
      </c>
      <c r="AG1" s="1">
        <f t="shared" si="1"/>
        <v>1986</v>
      </c>
      <c r="AH1" s="1">
        <f t="shared" si="1"/>
        <v>1987</v>
      </c>
      <c r="AJ1" t="s">
        <v>30</v>
      </c>
    </row>
    <row r="2" spans="1:49" x14ac:dyDescent="0.2">
      <c r="A2" s="46" t="s">
        <v>160</v>
      </c>
      <c r="B2">
        <v>103.5</v>
      </c>
      <c r="C2">
        <v>107.7</v>
      </c>
      <c r="D2">
        <v>119</v>
      </c>
      <c r="E2">
        <v>132</v>
      </c>
      <c r="F2">
        <v>128.6</v>
      </c>
      <c r="G2">
        <v>136.5</v>
      </c>
      <c r="H2">
        <v>115.9</v>
      </c>
      <c r="I2">
        <v>116.4</v>
      </c>
      <c r="J2">
        <v>111.5</v>
      </c>
      <c r="K2">
        <v>105.4</v>
      </c>
      <c r="L2">
        <v>6.8240000000000002E-3</v>
      </c>
      <c r="M2">
        <v>0</v>
      </c>
      <c r="N2">
        <v>0</v>
      </c>
      <c r="O2">
        <v>0</v>
      </c>
      <c r="P2">
        <v>0</v>
      </c>
      <c r="Q2">
        <v>0</v>
      </c>
      <c r="S2">
        <v>1</v>
      </c>
      <c r="T2">
        <v>19</v>
      </c>
      <c r="V2" s="2" t="s">
        <v>12</v>
      </c>
      <c r="W2">
        <v>1</v>
      </c>
      <c r="X2">
        <f>SUMIF($T2:$T76,"=1",C2:C76)</f>
        <v>140.86499999999998</v>
      </c>
      <c r="Y2">
        <f t="shared" ref="Y2:AH2" si="2">SUMIF($T2:$T76,"=1",D2:D76)</f>
        <v>142.619</v>
      </c>
      <c r="Z2">
        <f t="shared" si="2"/>
        <v>139.40800000000002</v>
      </c>
      <c r="AA2">
        <f t="shared" si="2"/>
        <v>145.053</v>
      </c>
      <c r="AB2">
        <f t="shared" si="2"/>
        <v>146.25200000000001</v>
      </c>
      <c r="AC2">
        <f t="shared" si="2"/>
        <v>161.78</v>
      </c>
      <c r="AD2">
        <f t="shared" si="2"/>
        <v>155.00300000000001</v>
      </c>
      <c r="AE2">
        <f t="shared" si="2"/>
        <v>159.57299999999998</v>
      </c>
      <c r="AF2">
        <f t="shared" si="2"/>
        <v>159.971</v>
      </c>
      <c r="AG2">
        <f t="shared" si="2"/>
        <v>162.70699999999999</v>
      </c>
      <c r="AH2">
        <f t="shared" si="2"/>
        <v>176.209</v>
      </c>
      <c r="AJ2">
        <f>[6]Asmt4!AE84</f>
        <v>175.813536</v>
      </c>
    </row>
    <row r="3" spans="1:49" x14ac:dyDescent="0.2">
      <c r="A3" s="46" t="s">
        <v>161</v>
      </c>
      <c r="B3">
        <v>3.88</v>
      </c>
      <c r="C3">
        <v>4.1669999999999998</v>
      </c>
      <c r="D3">
        <v>4.5869999999999997</v>
      </c>
      <c r="E3">
        <v>5.0179999999999998</v>
      </c>
      <c r="F3">
        <v>5.3920000000000003</v>
      </c>
      <c r="G3">
        <v>5.7210000000000001</v>
      </c>
      <c r="H3">
        <v>5.8550000000000004</v>
      </c>
      <c r="I3">
        <v>5.976</v>
      </c>
      <c r="J3">
        <v>6.0720000000000001</v>
      </c>
      <c r="K3">
        <v>6.1790000000000003</v>
      </c>
      <c r="L3">
        <v>6.8240000000000002E-3</v>
      </c>
      <c r="M3">
        <v>0</v>
      </c>
      <c r="N3">
        <v>0</v>
      </c>
      <c r="O3">
        <v>0</v>
      </c>
      <c r="P3">
        <v>0</v>
      </c>
      <c r="Q3">
        <v>0</v>
      </c>
      <c r="S3">
        <f>S2+1</f>
        <v>2</v>
      </c>
      <c r="T3">
        <v>19</v>
      </c>
      <c r="V3" s="2" t="s">
        <v>13</v>
      </c>
      <c r="W3">
        <f>W2+1</f>
        <v>2</v>
      </c>
      <c r="X3">
        <f>SUMIF($T$2:$T$76,"=2",C$2:C$76)</f>
        <v>96.551000000000002</v>
      </c>
      <c r="Y3">
        <f t="shared" ref="Y3:AH3" si="3">SUMIF($T$2:$T$76,"=2",D$2:D$76)</f>
        <v>96.179999999999993</v>
      </c>
      <c r="Z3">
        <f t="shared" si="3"/>
        <v>94.646999999999991</v>
      </c>
      <c r="AA3">
        <f t="shared" si="3"/>
        <v>91.671999999999997</v>
      </c>
      <c r="AB3">
        <f t="shared" si="3"/>
        <v>91.22</v>
      </c>
      <c r="AC3">
        <f t="shared" si="3"/>
        <v>85.969999999999985</v>
      </c>
      <c r="AD3">
        <f t="shared" si="3"/>
        <v>93.370999999999995</v>
      </c>
      <c r="AE3">
        <f t="shared" si="3"/>
        <v>95.367999999999995</v>
      </c>
      <c r="AF3">
        <f t="shared" si="3"/>
        <v>91.72999999999999</v>
      </c>
      <c r="AG3">
        <f t="shared" si="3"/>
        <v>94.828999999999994</v>
      </c>
      <c r="AH3">
        <f t="shared" si="3"/>
        <v>106.81699999999999</v>
      </c>
      <c r="AJ3">
        <f>[6]Asmt4!AE85</f>
        <v>100.9068292</v>
      </c>
    </row>
    <row r="4" spans="1:49" x14ac:dyDescent="0.2">
      <c r="A4" s="46" t="s">
        <v>162</v>
      </c>
      <c r="B4">
        <v>46.35</v>
      </c>
      <c r="C4">
        <v>42.61</v>
      </c>
      <c r="D4">
        <v>52.66</v>
      </c>
      <c r="E4">
        <v>57.03</v>
      </c>
      <c r="F4">
        <v>52.75</v>
      </c>
      <c r="G4">
        <v>58.38</v>
      </c>
      <c r="H4">
        <v>40.43</v>
      </c>
      <c r="I4">
        <v>42.63</v>
      </c>
      <c r="J4">
        <v>53.95</v>
      </c>
      <c r="K4">
        <v>54.82</v>
      </c>
      <c r="L4">
        <v>1.0240000000000001E-2</v>
      </c>
      <c r="M4">
        <v>0</v>
      </c>
      <c r="N4">
        <v>0</v>
      </c>
      <c r="O4">
        <v>0</v>
      </c>
      <c r="P4">
        <v>0</v>
      </c>
      <c r="Q4">
        <v>0</v>
      </c>
      <c r="S4">
        <f t="shared" ref="S4:S67" si="4">S3+1</f>
        <v>3</v>
      </c>
      <c r="T4">
        <v>19</v>
      </c>
      <c r="V4" s="2" t="s">
        <v>14</v>
      </c>
      <c r="W4">
        <f t="shared" ref="W4:W19" si="5">W3+1</f>
        <v>3</v>
      </c>
      <c r="X4">
        <f>SUMIF($T$2:$T$76,"=3",C$2:C$76)</f>
        <v>25.074999999999999</v>
      </c>
      <c r="Y4">
        <f t="shared" ref="Y4:AH4" si="6">SUMIF($T$2:$T$76,"=3",D$2:D$76)</f>
        <v>23.369</v>
      </c>
      <c r="Z4">
        <f t="shared" si="6"/>
        <v>20.447999999999997</v>
      </c>
      <c r="AA4">
        <f t="shared" si="6"/>
        <v>21.414000000000001</v>
      </c>
      <c r="AB4">
        <f t="shared" si="6"/>
        <v>21.235999999999997</v>
      </c>
      <c r="AC4">
        <f t="shared" si="6"/>
        <v>21.220000000000002</v>
      </c>
      <c r="AD4">
        <f t="shared" si="6"/>
        <v>21.192</v>
      </c>
      <c r="AE4">
        <f t="shared" si="6"/>
        <v>23.471999999999998</v>
      </c>
      <c r="AF4">
        <f t="shared" si="6"/>
        <v>19.82</v>
      </c>
      <c r="AG4">
        <f t="shared" si="6"/>
        <v>19.989100000000001</v>
      </c>
      <c r="AH4">
        <f t="shared" si="6"/>
        <v>20.238</v>
      </c>
      <c r="AJ4">
        <f>[6]Asmt4!AE86</f>
        <v>26.450506399999998</v>
      </c>
    </row>
    <row r="5" spans="1:49" x14ac:dyDescent="0.2">
      <c r="A5" s="46" t="s">
        <v>163</v>
      </c>
      <c r="B5">
        <v>34.18</v>
      </c>
      <c r="C5">
        <v>35.270000000000003</v>
      </c>
      <c r="D5">
        <v>35.14</v>
      </c>
      <c r="E5">
        <v>42.35</v>
      </c>
      <c r="F5">
        <v>46.47</v>
      </c>
      <c r="G5">
        <v>47.3</v>
      </c>
      <c r="H5">
        <v>50.21</v>
      </c>
      <c r="I5">
        <v>47.94</v>
      </c>
      <c r="J5">
        <v>55.22</v>
      </c>
      <c r="K5">
        <v>55.89</v>
      </c>
      <c r="L5">
        <v>6.8240000000000002E-3</v>
      </c>
      <c r="M5">
        <v>0</v>
      </c>
      <c r="N5">
        <v>0</v>
      </c>
      <c r="O5">
        <v>0</v>
      </c>
      <c r="P5">
        <v>0</v>
      </c>
      <c r="Q5">
        <v>0</v>
      </c>
      <c r="S5">
        <f t="shared" si="4"/>
        <v>4</v>
      </c>
      <c r="T5">
        <v>19</v>
      </c>
      <c r="V5">
        <v>321</v>
      </c>
      <c r="W5">
        <f t="shared" si="5"/>
        <v>4</v>
      </c>
      <c r="X5">
        <f>SUMIF($T$2:$T$76,"=4",C$2:C$76)</f>
        <v>55.12</v>
      </c>
      <c r="Y5">
        <f t="shared" ref="Y5:AH5" si="7">SUMIF($T$2:$T$76,"=4",D$2:D$76)</f>
        <v>56.872999999999998</v>
      </c>
      <c r="Z5">
        <f t="shared" si="7"/>
        <v>54.812999999999995</v>
      </c>
      <c r="AA5">
        <f t="shared" si="7"/>
        <v>50.050000000000004</v>
      </c>
      <c r="AB5">
        <f t="shared" si="7"/>
        <v>49.572000000000003</v>
      </c>
      <c r="AC5">
        <f t="shared" si="7"/>
        <v>49.875</v>
      </c>
      <c r="AD5">
        <f t="shared" si="7"/>
        <v>52.702999999999996</v>
      </c>
      <c r="AE5">
        <f t="shared" si="7"/>
        <v>57.087000000000003</v>
      </c>
      <c r="AF5">
        <f t="shared" si="7"/>
        <v>57.199999999999996</v>
      </c>
      <c r="AG5">
        <f t="shared" si="7"/>
        <v>60.599600000000002</v>
      </c>
      <c r="AH5">
        <f t="shared" si="7"/>
        <v>70.844999999999999</v>
      </c>
      <c r="AJ5">
        <f>[6]Asmt4!AE87</f>
        <v>68.653875599999992</v>
      </c>
    </row>
    <row r="6" spans="1:49" x14ac:dyDescent="0.2">
      <c r="A6" s="46" t="s">
        <v>164</v>
      </c>
      <c r="B6">
        <v>60.35</v>
      </c>
      <c r="C6">
        <v>65.62</v>
      </c>
      <c r="D6">
        <v>76.89</v>
      </c>
      <c r="E6">
        <v>84.05</v>
      </c>
      <c r="F6">
        <v>92.37</v>
      </c>
      <c r="G6">
        <v>99.72</v>
      </c>
      <c r="H6">
        <v>106.4</v>
      </c>
      <c r="I6">
        <v>113.4</v>
      </c>
      <c r="J6">
        <v>118</v>
      </c>
      <c r="K6">
        <v>122.4</v>
      </c>
      <c r="L6">
        <v>1.0240000000000001E-2</v>
      </c>
      <c r="M6">
        <v>0</v>
      </c>
      <c r="N6">
        <v>0</v>
      </c>
      <c r="O6">
        <v>0</v>
      </c>
      <c r="P6">
        <v>0</v>
      </c>
      <c r="Q6">
        <v>0</v>
      </c>
      <c r="S6">
        <f t="shared" si="4"/>
        <v>5</v>
      </c>
      <c r="T6">
        <v>19</v>
      </c>
      <c r="V6">
        <v>322</v>
      </c>
      <c r="W6">
        <f t="shared" si="5"/>
        <v>5</v>
      </c>
      <c r="X6">
        <f>SUMIF($T$2:$T$76,"=5",C$2:C$76)</f>
        <v>152.09</v>
      </c>
      <c r="Y6">
        <f t="shared" ref="Y6:AH6" si="8">SUMIF($T$2:$T$76,"=5",D$2:D$76)</f>
        <v>155.65</v>
      </c>
      <c r="Z6">
        <f t="shared" si="8"/>
        <v>157.51999999999998</v>
      </c>
      <c r="AA6">
        <f t="shared" si="8"/>
        <v>169.56000000000003</v>
      </c>
      <c r="AB6">
        <f t="shared" si="8"/>
        <v>178.14</v>
      </c>
      <c r="AC6">
        <f t="shared" si="8"/>
        <v>172.49</v>
      </c>
      <c r="AD6">
        <f t="shared" si="8"/>
        <v>176.82000000000002</v>
      </c>
      <c r="AE6">
        <f t="shared" si="8"/>
        <v>182.95000000000002</v>
      </c>
      <c r="AF6">
        <f t="shared" si="8"/>
        <v>179.67000000000002</v>
      </c>
      <c r="AG6">
        <f t="shared" si="8"/>
        <v>188.59</v>
      </c>
      <c r="AH6">
        <f t="shared" si="8"/>
        <v>197.42</v>
      </c>
      <c r="AJ6">
        <f>[6]Asmt4!AE88</f>
        <v>202.15281119999997</v>
      </c>
    </row>
    <row r="7" spans="1:49" x14ac:dyDescent="0.2">
      <c r="A7" s="46" t="s">
        <v>165</v>
      </c>
      <c r="B7">
        <v>31.45</v>
      </c>
      <c r="C7">
        <v>33.99</v>
      </c>
      <c r="D7">
        <v>38.14</v>
      </c>
      <c r="E7">
        <v>42.08</v>
      </c>
      <c r="F7">
        <v>40.33</v>
      </c>
      <c r="G7">
        <v>38.549999999999997</v>
      </c>
      <c r="H7">
        <v>33.68</v>
      </c>
      <c r="I7">
        <v>37.99</v>
      </c>
      <c r="J7">
        <v>38.14</v>
      </c>
      <c r="K7">
        <v>39.47</v>
      </c>
      <c r="L7">
        <v>6.8240000000000002E-3</v>
      </c>
      <c r="M7">
        <v>0</v>
      </c>
      <c r="N7">
        <v>0</v>
      </c>
      <c r="O7">
        <v>0</v>
      </c>
      <c r="P7">
        <v>0</v>
      </c>
      <c r="Q7">
        <v>0</v>
      </c>
      <c r="S7">
        <f t="shared" si="4"/>
        <v>6</v>
      </c>
      <c r="T7">
        <v>19</v>
      </c>
      <c r="V7">
        <v>323</v>
      </c>
      <c r="W7">
        <f t="shared" si="5"/>
        <v>6</v>
      </c>
      <c r="X7">
        <f>SUMIF($T$2:$T$76,"=6",C$2:C$76)</f>
        <v>36.01</v>
      </c>
      <c r="Y7">
        <f t="shared" ref="Y7:AH7" si="9">SUMIF($T$2:$T$76,"=6",D$2:D$76)</f>
        <v>35.299999999999997</v>
      </c>
      <c r="Z7">
        <f t="shared" si="9"/>
        <v>32.369999999999997</v>
      </c>
      <c r="AA7">
        <f t="shared" si="9"/>
        <v>32.94</v>
      </c>
      <c r="AB7">
        <f t="shared" si="9"/>
        <v>35.15</v>
      </c>
      <c r="AC7">
        <f t="shared" si="9"/>
        <v>36.299999999999997</v>
      </c>
      <c r="AD7">
        <f t="shared" si="9"/>
        <v>36.46</v>
      </c>
      <c r="AE7">
        <f t="shared" si="9"/>
        <v>42.9</v>
      </c>
      <c r="AF7">
        <f t="shared" si="9"/>
        <v>42.25</v>
      </c>
      <c r="AG7">
        <f t="shared" si="9"/>
        <v>45.05</v>
      </c>
      <c r="AH7">
        <f t="shared" si="9"/>
        <v>51.21</v>
      </c>
      <c r="AJ7">
        <f>[6]Asmt4!AE89</f>
        <v>38.495548799999995</v>
      </c>
    </row>
    <row r="8" spans="1:49" x14ac:dyDescent="0.2">
      <c r="A8" s="46" t="s">
        <v>166</v>
      </c>
      <c r="B8">
        <v>43.27</v>
      </c>
      <c r="C8">
        <v>44.81</v>
      </c>
      <c r="D8">
        <v>50.86</v>
      </c>
      <c r="E8">
        <v>53.38</v>
      </c>
      <c r="F8">
        <v>53</v>
      </c>
      <c r="G8">
        <v>56.68</v>
      </c>
      <c r="H8">
        <v>55.09</v>
      </c>
      <c r="I8">
        <v>61.39</v>
      </c>
      <c r="J8">
        <v>73.319999999999993</v>
      </c>
      <c r="K8">
        <v>77.94</v>
      </c>
      <c r="L8">
        <v>1.0240000000000001E-2</v>
      </c>
      <c r="M8">
        <v>0</v>
      </c>
      <c r="N8">
        <v>0</v>
      </c>
      <c r="O8">
        <v>0</v>
      </c>
      <c r="P8">
        <v>0</v>
      </c>
      <c r="Q8">
        <v>0</v>
      </c>
      <c r="S8">
        <f t="shared" si="4"/>
        <v>7</v>
      </c>
      <c r="T8">
        <v>19</v>
      </c>
      <c r="V8">
        <v>324</v>
      </c>
      <c r="W8">
        <f t="shared" si="5"/>
        <v>7</v>
      </c>
      <c r="X8">
        <f>SUMIF($T$2:$T$76,"=7",C$2:C$76)</f>
        <v>102.88200000000001</v>
      </c>
      <c r="Y8">
        <f t="shared" ref="Y8:AH8" si="10">SUMIF($T$2:$T$76,"=7",D$2:D$76)</f>
        <v>103.25500000000001</v>
      </c>
      <c r="Z8">
        <f t="shared" si="10"/>
        <v>107.747</v>
      </c>
      <c r="AA8">
        <f t="shared" si="10"/>
        <v>109.911</v>
      </c>
      <c r="AB8">
        <f t="shared" si="10"/>
        <v>110.999</v>
      </c>
      <c r="AC8">
        <f t="shared" si="10"/>
        <v>116.59400000000001</v>
      </c>
      <c r="AD8">
        <f t="shared" si="10"/>
        <v>114.117</v>
      </c>
      <c r="AE8">
        <f t="shared" si="10"/>
        <v>118.729</v>
      </c>
      <c r="AF8">
        <f t="shared" si="10"/>
        <v>119.23399999999999</v>
      </c>
      <c r="AG8">
        <f t="shared" si="10"/>
        <v>125.74100000000001</v>
      </c>
      <c r="AH8">
        <f t="shared" si="10"/>
        <v>113.536</v>
      </c>
      <c r="AJ8">
        <f>[6]Asmt4!AE90</f>
        <v>114.11706959999999</v>
      </c>
    </row>
    <row r="9" spans="1:49" x14ac:dyDescent="0.2">
      <c r="A9" s="46" t="s">
        <v>167</v>
      </c>
      <c r="B9">
        <v>0.96599999999999997</v>
      </c>
      <c r="C9">
        <v>1.0209999999999999</v>
      </c>
      <c r="D9">
        <v>1.0449999999999999</v>
      </c>
      <c r="E9">
        <v>0.82399999999999995</v>
      </c>
      <c r="F9">
        <v>0.77500000000000002</v>
      </c>
      <c r="G9">
        <v>0.76</v>
      </c>
      <c r="H9">
        <v>0.81599999999999995</v>
      </c>
      <c r="I9">
        <v>0.98199999999999998</v>
      </c>
      <c r="J9">
        <v>0.93799999999999994</v>
      </c>
      <c r="K9">
        <v>0.94799999999999995</v>
      </c>
      <c r="L9">
        <v>0.89</v>
      </c>
      <c r="M9">
        <v>1.0960000000000001</v>
      </c>
      <c r="N9">
        <v>1.1020000000000001</v>
      </c>
      <c r="O9">
        <v>1.101</v>
      </c>
      <c r="P9">
        <v>1.036</v>
      </c>
      <c r="Q9">
        <v>1.0069999999999999</v>
      </c>
      <c r="S9">
        <f t="shared" si="4"/>
        <v>8</v>
      </c>
      <c r="T9">
        <v>4</v>
      </c>
      <c r="V9">
        <v>325</v>
      </c>
      <c r="W9">
        <f t="shared" si="5"/>
        <v>8</v>
      </c>
      <c r="X9">
        <f>SUMIF($T$2:$T$76,"=8",C$2:C$76)</f>
        <v>485.13100000000003</v>
      </c>
      <c r="Y9">
        <f t="shared" ref="Y9:AH9" si="11">SUMIF($T$2:$T$76,"=8",D$2:D$76)</f>
        <v>478.24799999999999</v>
      </c>
      <c r="Z9">
        <f t="shared" si="11"/>
        <v>478.37200000000001</v>
      </c>
      <c r="AA9">
        <f t="shared" si="11"/>
        <v>438.96300000000008</v>
      </c>
      <c r="AB9">
        <f t="shared" si="11"/>
        <v>436.74200000000002</v>
      </c>
      <c r="AC9">
        <f t="shared" si="11"/>
        <v>398.428</v>
      </c>
      <c r="AD9">
        <f t="shared" si="11"/>
        <v>422.375</v>
      </c>
      <c r="AE9">
        <f t="shared" si="11"/>
        <v>454.26100000000002</v>
      </c>
      <c r="AF9">
        <f t="shared" si="11"/>
        <v>427.74600000000004</v>
      </c>
      <c r="AG9">
        <f t="shared" si="11"/>
        <v>407.755</v>
      </c>
      <c r="AH9">
        <f t="shared" si="11"/>
        <v>423.6230000000001</v>
      </c>
      <c r="AJ9">
        <f>[6]Asmt4!AE91</f>
        <v>427.02851879999997</v>
      </c>
    </row>
    <row r="10" spans="1:49" x14ac:dyDescent="0.2">
      <c r="A10" s="46" t="s">
        <v>169</v>
      </c>
      <c r="B10">
        <v>0.45400000000000001</v>
      </c>
      <c r="C10">
        <v>0.51900000000000002</v>
      </c>
      <c r="D10">
        <v>0.498</v>
      </c>
      <c r="E10">
        <v>0.439</v>
      </c>
      <c r="F10">
        <v>0.435</v>
      </c>
      <c r="G10">
        <v>0.38200000000000001</v>
      </c>
      <c r="H10">
        <v>0.42899999999999999</v>
      </c>
      <c r="I10">
        <v>0.42099999999999999</v>
      </c>
      <c r="J10">
        <v>0.40899999999999997</v>
      </c>
      <c r="K10">
        <v>0.38200000000000001</v>
      </c>
      <c r="L10">
        <v>0.41959999999999997</v>
      </c>
      <c r="M10">
        <v>0.59899999999999998</v>
      </c>
      <c r="N10">
        <v>0.57299999999999995</v>
      </c>
      <c r="O10">
        <v>0.52959999999999996</v>
      </c>
      <c r="P10">
        <v>0.53949999999999998</v>
      </c>
      <c r="Q10">
        <v>0.51939999999999997</v>
      </c>
      <c r="S10">
        <f t="shared" si="4"/>
        <v>9</v>
      </c>
      <c r="T10">
        <v>4</v>
      </c>
      <c r="V10">
        <v>326</v>
      </c>
      <c r="W10">
        <f t="shared" si="5"/>
        <v>9</v>
      </c>
      <c r="X10">
        <f>SUMIF($T$2:$T$76,"=9",C$2:C$76)</f>
        <v>76.97</v>
      </c>
      <c r="Y10">
        <f t="shared" ref="Y10:AH10" si="12">SUMIF($T$2:$T$76,"=9",D$2:D$76)</f>
        <v>78.38</v>
      </c>
      <c r="Z10">
        <f t="shared" si="12"/>
        <v>77.92</v>
      </c>
      <c r="AA10">
        <f t="shared" si="12"/>
        <v>73.91</v>
      </c>
      <c r="AB10">
        <f t="shared" si="12"/>
        <v>78.180000000000007</v>
      </c>
      <c r="AC10">
        <f t="shared" si="12"/>
        <v>105.1</v>
      </c>
      <c r="AD10">
        <f t="shared" si="12"/>
        <v>109.3</v>
      </c>
      <c r="AE10">
        <f t="shared" si="12"/>
        <v>100.8</v>
      </c>
      <c r="AF10">
        <f t="shared" si="12"/>
        <v>102.7</v>
      </c>
      <c r="AG10">
        <f t="shared" si="12"/>
        <v>106.5</v>
      </c>
      <c r="AH10">
        <f t="shared" si="12"/>
        <v>112.9</v>
      </c>
      <c r="AJ10">
        <f>[6]Asmt4!AE92</f>
        <v>108.93594759999999</v>
      </c>
      <c r="AP10">
        <v>1987</v>
      </c>
      <c r="AT10" t="s">
        <v>22</v>
      </c>
    </row>
    <row r="11" spans="1:49" x14ac:dyDescent="0.2">
      <c r="A11" s="46" t="s">
        <v>168</v>
      </c>
      <c r="B11">
        <v>51.75</v>
      </c>
      <c r="C11">
        <v>53.58</v>
      </c>
      <c r="D11">
        <v>55.33</v>
      </c>
      <c r="E11">
        <v>53.55</v>
      </c>
      <c r="F11">
        <v>48.84</v>
      </c>
      <c r="G11">
        <v>48.43</v>
      </c>
      <c r="H11">
        <v>48.63</v>
      </c>
      <c r="I11">
        <v>51.3</v>
      </c>
      <c r="J11">
        <v>55.74</v>
      </c>
      <c r="K11">
        <v>55.87</v>
      </c>
      <c r="L11">
        <v>59.29</v>
      </c>
      <c r="M11">
        <v>69.150000000000006</v>
      </c>
      <c r="N11">
        <v>71.92</v>
      </c>
      <c r="O11">
        <v>70.510000000000005</v>
      </c>
      <c r="P11">
        <v>70.63</v>
      </c>
      <c r="Q11">
        <v>68.64</v>
      </c>
      <c r="S11">
        <f t="shared" si="4"/>
        <v>10</v>
      </c>
      <c r="T11">
        <v>4</v>
      </c>
      <c r="V11">
        <v>327</v>
      </c>
      <c r="W11">
        <f t="shared" si="5"/>
        <v>10</v>
      </c>
      <c r="X11">
        <f>SUMIF($T$2:$T$76,"=10",C$2:C$76)</f>
        <v>105.52000000000001</v>
      </c>
      <c r="Y11">
        <f t="shared" ref="Y11:AH11" si="13">SUMIF($T$2:$T$76,"=10",D$2:D$76)</f>
        <v>111.75</v>
      </c>
      <c r="Z11">
        <f t="shared" si="13"/>
        <v>112.55</v>
      </c>
      <c r="AA11">
        <f t="shared" si="13"/>
        <v>104.09</v>
      </c>
      <c r="AB11">
        <f t="shared" si="13"/>
        <v>102.72999999999999</v>
      </c>
      <c r="AC11">
        <f t="shared" si="13"/>
        <v>95.11</v>
      </c>
      <c r="AD11">
        <f t="shared" si="13"/>
        <v>95.37</v>
      </c>
      <c r="AE11">
        <f t="shared" si="13"/>
        <v>102.50999999999999</v>
      </c>
      <c r="AF11">
        <f t="shared" si="13"/>
        <v>112.48</v>
      </c>
      <c r="AG11">
        <f t="shared" si="13"/>
        <v>116.63</v>
      </c>
      <c r="AH11">
        <f t="shared" si="13"/>
        <v>122.97</v>
      </c>
      <c r="AJ11">
        <f>[6]Asmt4!AE93</f>
        <v>113.86799359999999</v>
      </c>
      <c r="AL11">
        <f>8917+9404.4+12195.4</f>
        <v>30516.800000000003</v>
      </c>
      <c r="AM11">
        <f>3.412*AL11*0.001</f>
        <v>104.12332160000001</v>
      </c>
      <c r="AP11">
        <f>(9997.5+9700.7+13612.9)</f>
        <v>33311.1</v>
      </c>
      <c r="AQ11">
        <f>3.412*AP11*0.001</f>
        <v>113.6574732</v>
      </c>
      <c r="AT11">
        <f>30.425+32.088+49.958</f>
        <v>112.471</v>
      </c>
      <c r="AV11">
        <f>32963.5</f>
        <v>32963.5</v>
      </c>
      <c r="AW11">
        <f>3.412*AV11*0.001</f>
        <v>112.471462</v>
      </c>
    </row>
    <row r="12" spans="1:49" x14ac:dyDescent="0.2">
      <c r="A12" s="46" t="s">
        <v>170</v>
      </c>
      <c r="B12">
        <v>9.1199999999999992</v>
      </c>
      <c r="C12">
        <v>9.5640000000000001</v>
      </c>
      <c r="D12">
        <v>9.59</v>
      </c>
      <c r="E12">
        <v>9.1080000000000005</v>
      </c>
      <c r="F12">
        <v>8.8650000000000002</v>
      </c>
      <c r="G12">
        <v>8.6660000000000004</v>
      </c>
      <c r="H12">
        <v>8.4320000000000004</v>
      </c>
      <c r="I12">
        <v>8.5</v>
      </c>
      <c r="J12">
        <v>8.7940000000000005</v>
      </c>
      <c r="K12">
        <v>8.6389999999999993</v>
      </c>
      <c r="L12">
        <v>9.0939999999999994</v>
      </c>
      <c r="M12">
        <v>10.89</v>
      </c>
      <c r="N12">
        <v>13.02</v>
      </c>
      <c r="O12">
        <v>12.27</v>
      </c>
      <c r="P12">
        <v>11.35</v>
      </c>
      <c r="Q12">
        <v>11.11</v>
      </c>
      <c r="S12">
        <f t="shared" si="4"/>
        <v>11</v>
      </c>
      <c r="T12">
        <v>17</v>
      </c>
      <c r="V12">
        <v>331</v>
      </c>
      <c r="W12">
        <f t="shared" si="5"/>
        <v>11</v>
      </c>
      <c r="X12">
        <f>SUMIF($T$2:$T$76,"=11",C$2:C$76)</f>
        <v>561.74</v>
      </c>
      <c r="Y12">
        <f t="shared" ref="Y12:AH12" si="14">SUMIF($T$2:$T$76,"=11",D$2:D$76)</f>
        <v>586.45000000000005</v>
      </c>
      <c r="Z12">
        <f t="shared" si="14"/>
        <v>610.53999999999985</v>
      </c>
      <c r="AA12">
        <f t="shared" si="14"/>
        <v>575.86</v>
      </c>
      <c r="AB12">
        <f t="shared" si="14"/>
        <v>580.99</v>
      </c>
      <c r="AC12">
        <f t="shared" si="14"/>
        <v>420.37</v>
      </c>
      <c r="AD12">
        <f t="shared" si="14"/>
        <v>410.43</v>
      </c>
      <c r="AE12">
        <f t="shared" si="14"/>
        <v>490.01</v>
      </c>
      <c r="AF12">
        <f t="shared" si="14"/>
        <v>454.03000000000003</v>
      </c>
      <c r="AG12">
        <f t="shared" si="14"/>
        <v>427.77</v>
      </c>
      <c r="AH12">
        <f t="shared" si="14"/>
        <v>445.62</v>
      </c>
      <c r="AJ12">
        <f>[6]Asmt4!AE94</f>
        <v>445.69898280000001</v>
      </c>
    </row>
    <row r="13" spans="1:49" x14ac:dyDescent="0.2">
      <c r="A13" s="46" t="s">
        <v>171</v>
      </c>
      <c r="B13">
        <v>4.4219999999999997</v>
      </c>
      <c r="C13">
        <v>4.7329999999999997</v>
      </c>
      <c r="D13">
        <v>4.9279999999999999</v>
      </c>
      <c r="E13">
        <v>4.6520000000000001</v>
      </c>
      <c r="F13">
        <v>4.6180000000000003</v>
      </c>
      <c r="G13">
        <v>5.4710000000000001</v>
      </c>
      <c r="H13">
        <v>5.2149999999999999</v>
      </c>
      <c r="I13">
        <v>6.0609999999999999</v>
      </c>
      <c r="J13">
        <v>6.72</v>
      </c>
      <c r="K13">
        <v>6.6289999999999996</v>
      </c>
      <c r="L13">
        <v>6.867</v>
      </c>
      <c r="M13">
        <v>8.6020000000000003</v>
      </c>
      <c r="N13">
        <v>9.0690000000000008</v>
      </c>
      <c r="O13">
        <v>9.2110000000000003</v>
      </c>
      <c r="P13">
        <v>8.9979999999999993</v>
      </c>
      <c r="Q13">
        <v>8.7349999999999994</v>
      </c>
      <c r="S13">
        <f t="shared" si="4"/>
        <v>12</v>
      </c>
      <c r="T13">
        <v>17</v>
      </c>
      <c r="V13">
        <v>332</v>
      </c>
      <c r="W13">
        <f t="shared" si="5"/>
        <v>12</v>
      </c>
      <c r="X13">
        <f>SUMIF($T$2:$T$76,"=12",C$2:C$76)</f>
        <v>89.831000000000003</v>
      </c>
      <c r="Y13">
        <f t="shared" ref="Y13:AH13" si="15">SUMIF($T$2:$T$76,"=12",D$2:D$76)</f>
        <v>89.974000000000004</v>
      </c>
      <c r="Z13">
        <f t="shared" si="15"/>
        <v>89.725000000000009</v>
      </c>
      <c r="AA13">
        <f t="shared" si="15"/>
        <v>86.39200000000001</v>
      </c>
      <c r="AB13">
        <f t="shared" si="15"/>
        <v>87.139999999999986</v>
      </c>
      <c r="AC13">
        <f t="shared" si="15"/>
        <v>87.12</v>
      </c>
      <c r="AD13">
        <f t="shared" si="15"/>
        <v>84.740000000000009</v>
      </c>
      <c r="AE13">
        <f t="shared" si="15"/>
        <v>103.637</v>
      </c>
      <c r="AF13">
        <f t="shared" si="15"/>
        <v>95.451999999999998</v>
      </c>
      <c r="AG13">
        <f t="shared" si="15"/>
        <v>93.283000000000015</v>
      </c>
      <c r="AH13">
        <f t="shared" si="15"/>
        <v>112.95500000000001</v>
      </c>
      <c r="AJ13">
        <f>[6]Asmt4!AE95</f>
        <v>110.82210119999999</v>
      </c>
    </row>
    <row r="14" spans="1:49" x14ac:dyDescent="0.2">
      <c r="A14" s="46" t="s">
        <v>172</v>
      </c>
      <c r="B14">
        <v>29.29</v>
      </c>
      <c r="C14">
        <v>30.48</v>
      </c>
      <c r="D14">
        <v>32.380000000000003</v>
      </c>
      <c r="E14">
        <v>32.51</v>
      </c>
      <c r="F14">
        <v>31.48</v>
      </c>
      <c r="G14">
        <v>32.35</v>
      </c>
      <c r="H14">
        <v>31.19</v>
      </c>
      <c r="I14">
        <v>30.61</v>
      </c>
      <c r="J14">
        <v>31.2</v>
      </c>
      <c r="K14">
        <v>30.43</v>
      </c>
      <c r="L14">
        <v>31.74</v>
      </c>
      <c r="M14">
        <v>34.11</v>
      </c>
      <c r="N14">
        <v>35.82</v>
      </c>
      <c r="O14">
        <v>36.200000000000003</v>
      </c>
      <c r="P14">
        <v>36.880000000000003</v>
      </c>
      <c r="Q14">
        <v>35.74</v>
      </c>
      <c r="S14">
        <f t="shared" si="4"/>
        <v>13</v>
      </c>
      <c r="T14">
        <v>10</v>
      </c>
      <c r="V14">
        <v>333</v>
      </c>
      <c r="W14">
        <f t="shared" si="5"/>
        <v>13</v>
      </c>
      <c r="X14">
        <f>SUMIF($T$2:$T$76,"=13",C$2:C$76)</f>
        <v>93.820000000000007</v>
      </c>
      <c r="Y14">
        <f t="shared" ref="Y14:AH14" si="16">SUMIF($T$2:$T$76,"=13",D$2:D$76)</f>
        <v>98.097999999999999</v>
      </c>
      <c r="Z14">
        <f t="shared" si="16"/>
        <v>98.283999999999992</v>
      </c>
      <c r="AA14">
        <f t="shared" si="16"/>
        <v>97.373999999999995</v>
      </c>
      <c r="AB14">
        <f t="shared" si="16"/>
        <v>99.641000000000005</v>
      </c>
      <c r="AC14">
        <f t="shared" si="16"/>
        <v>94.296000000000006</v>
      </c>
      <c r="AD14">
        <f t="shared" si="16"/>
        <v>87.562000000000012</v>
      </c>
      <c r="AE14">
        <f t="shared" si="16"/>
        <v>94.379999999999981</v>
      </c>
      <c r="AF14">
        <f t="shared" si="16"/>
        <v>91.414999999999992</v>
      </c>
      <c r="AG14">
        <f t="shared" si="16"/>
        <v>89.672000000000011</v>
      </c>
      <c r="AH14">
        <f t="shared" si="16"/>
        <v>98.178999999999988</v>
      </c>
      <c r="AJ14">
        <f>[6]Asmt4!AE96</f>
        <v>83.661216399999986</v>
      </c>
    </row>
    <row r="15" spans="1:49" x14ac:dyDescent="0.2">
      <c r="A15" s="46" t="s">
        <v>173</v>
      </c>
      <c r="B15">
        <v>31.19</v>
      </c>
      <c r="C15">
        <v>33.520000000000003</v>
      </c>
      <c r="D15">
        <v>35.53</v>
      </c>
      <c r="E15">
        <v>35.24</v>
      </c>
      <c r="F15">
        <v>31.52</v>
      </c>
      <c r="G15">
        <v>30.45</v>
      </c>
      <c r="H15">
        <v>28.73</v>
      </c>
      <c r="I15">
        <v>28.36</v>
      </c>
      <c r="J15">
        <v>31.15</v>
      </c>
      <c r="K15">
        <v>32.090000000000003</v>
      </c>
      <c r="L15">
        <v>32.69</v>
      </c>
      <c r="M15">
        <v>33.1</v>
      </c>
      <c r="N15">
        <v>32.82</v>
      </c>
      <c r="O15">
        <v>31.19</v>
      </c>
      <c r="P15">
        <v>32.03</v>
      </c>
      <c r="Q15">
        <v>30.97</v>
      </c>
      <c r="S15">
        <f t="shared" si="4"/>
        <v>14</v>
      </c>
      <c r="T15">
        <v>10</v>
      </c>
      <c r="V15">
        <v>334</v>
      </c>
      <c r="W15">
        <f t="shared" si="5"/>
        <v>14</v>
      </c>
      <c r="X15">
        <f>SUMIF($T$2:$T$76,"=14",C$2:C$76)</f>
        <v>61.380999999999993</v>
      </c>
      <c r="Y15">
        <f t="shared" ref="Y15:AH15" si="17">SUMIF($T$2:$T$76,"=14",D$2:D$76)</f>
        <v>65.210000000000008</v>
      </c>
      <c r="Z15">
        <f t="shared" si="17"/>
        <v>69.849999999999994</v>
      </c>
      <c r="AA15">
        <f t="shared" si="17"/>
        <v>74.44</v>
      </c>
      <c r="AB15">
        <f t="shared" si="17"/>
        <v>79.39</v>
      </c>
      <c r="AC15">
        <f t="shared" si="17"/>
        <v>84.740000000000009</v>
      </c>
      <c r="AD15">
        <f t="shared" si="17"/>
        <v>88.86</v>
      </c>
      <c r="AE15">
        <f t="shared" si="17"/>
        <v>96.54</v>
      </c>
      <c r="AF15">
        <f t="shared" si="17"/>
        <v>102.14000000000001</v>
      </c>
      <c r="AG15">
        <f t="shared" si="17"/>
        <v>106.81</v>
      </c>
      <c r="AH15">
        <f t="shared" si="17"/>
        <v>114.31</v>
      </c>
      <c r="AJ15">
        <f>[6]Asmt4!AE97</f>
        <v>106.67549759999999</v>
      </c>
    </row>
    <row r="16" spans="1:49" x14ac:dyDescent="0.2">
      <c r="A16" s="46" t="s">
        <v>174</v>
      </c>
      <c r="B16">
        <v>39.28</v>
      </c>
      <c r="C16">
        <v>41.52</v>
      </c>
      <c r="D16">
        <v>43.84</v>
      </c>
      <c r="E16">
        <v>44.8</v>
      </c>
      <c r="F16">
        <v>41.09</v>
      </c>
      <c r="G16">
        <v>39.93</v>
      </c>
      <c r="H16">
        <v>35.19</v>
      </c>
      <c r="I16">
        <v>36.4</v>
      </c>
      <c r="J16">
        <v>40.159999999999997</v>
      </c>
      <c r="K16">
        <v>49.96</v>
      </c>
      <c r="L16">
        <v>52.2</v>
      </c>
      <c r="M16">
        <v>55.76</v>
      </c>
      <c r="N16">
        <v>57.21</v>
      </c>
      <c r="O16">
        <v>55.63</v>
      </c>
      <c r="P16">
        <v>55.97</v>
      </c>
      <c r="Q16">
        <v>54.64</v>
      </c>
      <c r="S16">
        <f t="shared" si="4"/>
        <v>15</v>
      </c>
      <c r="T16">
        <v>10</v>
      </c>
      <c r="V16">
        <v>335</v>
      </c>
      <c r="W16">
        <f t="shared" si="5"/>
        <v>15</v>
      </c>
      <c r="X16">
        <f>SUMIF($T$2:$T$76,"=15",C$2:C$76)</f>
        <v>46.012999999999998</v>
      </c>
      <c r="Y16">
        <f t="shared" ref="Y16:AH16" si="18">SUMIF($T$2:$T$76,"=15",D$2:D$76)</f>
        <v>47.622</v>
      </c>
      <c r="Z16">
        <f t="shared" si="18"/>
        <v>48.641999999999996</v>
      </c>
      <c r="AA16">
        <f t="shared" si="18"/>
        <v>45.693000000000005</v>
      </c>
      <c r="AB16">
        <f t="shared" si="18"/>
        <v>45.231999999999999</v>
      </c>
      <c r="AC16">
        <f t="shared" si="18"/>
        <v>45.436999999999998</v>
      </c>
      <c r="AD16">
        <f t="shared" si="18"/>
        <v>45.957000000000001</v>
      </c>
      <c r="AE16">
        <f t="shared" si="18"/>
        <v>49.016999999999996</v>
      </c>
      <c r="AF16">
        <f t="shared" si="18"/>
        <v>46.959999999999994</v>
      </c>
      <c r="AG16">
        <f t="shared" si="18"/>
        <v>47.870000000000005</v>
      </c>
      <c r="AH16">
        <f t="shared" si="18"/>
        <v>50.752000000000002</v>
      </c>
      <c r="AJ16">
        <f>[6]Asmt4!AE98</f>
        <v>43.329670399999998</v>
      </c>
    </row>
    <row r="17" spans="1:42" x14ac:dyDescent="0.2">
      <c r="A17" s="46" t="s">
        <v>175</v>
      </c>
      <c r="B17">
        <v>186.4</v>
      </c>
      <c r="C17">
        <v>200</v>
      </c>
      <c r="D17">
        <v>211.3</v>
      </c>
      <c r="E17">
        <v>219.2</v>
      </c>
      <c r="F17">
        <v>193.2</v>
      </c>
      <c r="G17">
        <v>203.1</v>
      </c>
      <c r="H17">
        <v>143.9</v>
      </c>
      <c r="I17">
        <v>136.1</v>
      </c>
      <c r="J17">
        <v>164.5</v>
      </c>
      <c r="K17">
        <v>158.80000000000001</v>
      </c>
      <c r="L17">
        <v>149.30000000000001</v>
      </c>
      <c r="M17">
        <v>161.9</v>
      </c>
      <c r="N17">
        <v>173.9</v>
      </c>
      <c r="O17">
        <v>174.1</v>
      </c>
      <c r="P17">
        <v>174.8</v>
      </c>
      <c r="Q17">
        <v>166.2</v>
      </c>
      <c r="S17">
        <f t="shared" si="4"/>
        <v>16</v>
      </c>
      <c r="T17">
        <v>11</v>
      </c>
      <c r="V17">
        <v>336</v>
      </c>
      <c r="W17">
        <f t="shared" si="5"/>
        <v>16</v>
      </c>
      <c r="X17">
        <f>SUMIF($T$2:$T$76,"=16",C$2:C$76)</f>
        <v>106.038</v>
      </c>
      <c r="Y17">
        <f t="shared" ref="Y17:AH17" si="19">SUMIF($T$2:$T$76,"=16",D$2:D$76)</f>
        <v>108.39700000000001</v>
      </c>
      <c r="Z17">
        <f t="shared" si="19"/>
        <v>109.081</v>
      </c>
      <c r="AA17">
        <f t="shared" si="19"/>
        <v>102.259</v>
      </c>
      <c r="AB17">
        <f t="shared" si="19"/>
        <v>102.68199999999999</v>
      </c>
      <c r="AC17">
        <f t="shared" si="19"/>
        <v>98.325999999999993</v>
      </c>
      <c r="AD17">
        <f t="shared" si="19"/>
        <v>103.93599999999999</v>
      </c>
      <c r="AE17">
        <f t="shared" si="19"/>
        <v>114.23799999999999</v>
      </c>
      <c r="AF17">
        <f t="shared" si="19"/>
        <v>117.84</v>
      </c>
      <c r="AG17">
        <f t="shared" si="19"/>
        <v>123.29600000000001</v>
      </c>
      <c r="AH17">
        <f t="shared" si="19"/>
        <v>131.82900000000001</v>
      </c>
      <c r="AJ17">
        <f>[6]Asmt4!AE99</f>
        <v>149.9430696</v>
      </c>
      <c r="AP17">
        <f>33482*3.412*0.001</f>
        <v>114.240584</v>
      </c>
    </row>
    <row r="18" spans="1:42" x14ac:dyDescent="0.2">
      <c r="A18" s="46" t="s">
        <v>176</v>
      </c>
      <c r="B18">
        <v>43.2</v>
      </c>
      <c r="C18">
        <v>45.92</v>
      </c>
      <c r="D18">
        <v>50.96</v>
      </c>
      <c r="E18">
        <v>53.22</v>
      </c>
      <c r="F18">
        <v>45.02</v>
      </c>
      <c r="G18">
        <v>44.84</v>
      </c>
      <c r="H18">
        <v>34.85</v>
      </c>
      <c r="I18">
        <v>32.1</v>
      </c>
      <c r="J18">
        <v>39.86</v>
      </c>
      <c r="K18">
        <v>36.92</v>
      </c>
      <c r="L18">
        <v>35.6</v>
      </c>
      <c r="M18">
        <v>39.299999999999997</v>
      </c>
      <c r="N18">
        <v>43.4</v>
      </c>
      <c r="O18">
        <v>41.67</v>
      </c>
      <c r="P18">
        <v>41.79</v>
      </c>
      <c r="Q18">
        <v>38.93</v>
      </c>
      <c r="S18">
        <f t="shared" si="4"/>
        <v>17</v>
      </c>
      <c r="T18">
        <v>11</v>
      </c>
      <c r="V18">
        <v>337</v>
      </c>
      <c r="W18">
        <f t="shared" si="5"/>
        <v>17</v>
      </c>
      <c r="X18">
        <f>SUMIF($T$2:$T$76,"=17",C$2:C$76)</f>
        <v>14.297000000000001</v>
      </c>
      <c r="Y18">
        <f t="shared" ref="Y18:AH18" si="20">SUMIF($T$2:$T$76,"=17",D$2:D$76)</f>
        <v>14.518000000000001</v>
      </c>
      <c r="Z18">
        <f t="shared" si="20"/>
        <v>13.760000000000002</v>
      </c>
      <c r="AA18">
        <f t="shared" si="20"/>
        <v>13.483000000000001</v>
      </c>
      <c r="AB18">
        <f t="shared" si="20"/>
        <v>14.137</v>
      </c>
      <c r="AC18">
        <f t="shared" si="20"/>
        <v>13.647</v>
      </c>
      <c r="AD18">
        <f t="shared" si="20"/>
        <v>14.561</v>
      </c>
      <c r="AE18">
        <f t="shared" si="20"/>
        <v>15.513999999999999</v>
      </c>
      <c r="AF18">
        <f t="shared" si="20"/>
        <v>15.267999999999999</v>
      </c>
      <c r="AG18">
        <f t="shared" si="20"/>
        <v>15.960999999999999</v>
      </c>
      <c r="AH18">
        <f t="shared" si="20"/>
        <v>19.492000000000001</v>
      </c>
      <c r="AJ18">
        <f>[6]Asmt4!AE100</f>
        <v>21.677459599999995</v>
      </c>
    </row>
    <row r="19" spans="1:42" x14ac:dyDescent="0.2">
      <c r="A19" s="46" t="s">
        <v>177</v>
      </c>
      <c r="B19">
        <v>225</v>
      </c>
      <c r="C19">
        <v>244.7</v>
      </c>
      <c r="D19">
        <v>250.7</v>
      </c>
      <c r="E19">
        <v>261.2</v>
      </c>
      <c r="F19">
        <v>262.10000000000002</v>
      </c>
      <c r="G19">
        <v>256.60000000000002</v>
      </c>
      <c r="H19">
        <v>177.2</v>
      </c>
      <c r="I19">
        <v>180.4</v>
      </c>
      <c r="J19">
        <v>216.4</v>
      </c>
      <c r="K19">
        <v>189.8</v>
      </c>
      <c r="L19">
        <v>175.9</v>
      </c>
      <c r="M19">
        <v>174.9</v>
      </c>
      <c r="N19">
        <v>221.7</v>
      </c>
      <c r="O19">
        <v>209.7</v>
      </c>
      <c r="P19">
        <v>217.3</v>
      </c>
      <c r="Q19">
        <v>225.5</v>
      </c>
      <c r="S19">
        <f t="shared" si="4"/>
        <v>18</v>
      </c>
      <c r="T19">
        <v>11</v>
      </c>
      <c r="V19">
        <v>339</v>
      </c>
      <c r="W19">
        <f t="shared" si="5"/>
        <v>18</v>
      </c>
      <c r="X19">
        <f>SUMIF($T$2:$T$76,"=18",C$2:C$76)</f>
        <v>14.07</v>
      </c>
      <c r="Y19">
        <f t="shared" ref="Y19:AH19" si="21">SUMIF($T$2:$T$76,"=18",D$2:D$76)</f>
        <v>13.61</v>
      </c>
      <c r="Z19">
        <f t="shared" si="21"/>
        <v>12.6</v>
      </c>
      <c r="AA19">
        <f t="shared" si="21"/>
        <v>12.35</v>
      </c>
      <c r="AB19">
        <f t="shared" si="21"/>
        <v>12.39</v>
      </c>
      <c r="AC19">
        <f t="shared" si="21"/>
        <v>12.46</v>
      </c>
      <c r="AD19">
        <f t="shared" si="21"/>
        <v>12.38</v>
      </c>
      <c r="AE19">
        <f t="shared" si="21"/>
        <v>12.65</v>
      </c>
      <c r="AF19">
        <f t="shared" si="21"/>
        <v>11.89</v>
      </c>
      <c r="AG19">
        <f t="shared" si="21"/>
        <v>12.13</v>
      </c>
      <c r="AH19">
        <f t="shared" si="21"/>
        <v>15.82</v>
      </c>
      <c r="AJ19">
        <f>[6]Asmt4!AE101</f>
        <v>25.476380399999996</v>
      </c>
    </row>
    <row r="20" spans="1:42" x14ac:dyDescent="0.2">
      <c r="A20" s="46" t="s">
        <v>178</v>
      </c>
      <c r="B20">
        <v>72.62</v>
      </c>
      <c r="C20">
        <v>71.12</v>
      </c>
      <c r="D20">
        <v>73.489999999999995</v>
      </c>
      <c r="E20">
        <v>76.92</v>
      </c>
      <c r="F20">
        <v>75.540000000000006</v>
      </c>
      <c r="G20">
        <v>76.45</v>
      </c>
      <c r="H20">
        <v>64.42</v>
      </c>
      <c r="I20">
        <v>61.83</v>
      </c>
      <c r="J20">
        <v>69.25</v>
      </c>
      <c r="K20">
        <v>68.510000000000005</v>
      </c>
      <c r="L20">
        <v>66.97</v>
      </c>
      <c r="M20">
        <v>69.52</v>
      </c>
      <c r="N20">
        <v>73.849999999999994</v>
      </c>
      <c r="O20">
        <v>75.81</v>
      </c>
      <c r="P20">
        <v>73.5</v>
      </c>
      <c r="Q20">
        <v>72.78</v>
      </c>
      <c r="S20">
        <f t="shared" si="4"/>
        <v>19</v>
      </c>
      <c r="T20">
        <v>11</v>
      </c>
      <c r="X20">
        <f>SUM(X2:X19)</f>
        <v>2263.404</v>
      </c>
      <c r="Y20">
        <f t="shared" ref="Y20:AH20" si="22">SUM(Y2:Y19)</f>
        <v>2305.5030000000002</v>
      </c>
      <c r="Z20">
        <f t="shared" si="22"/>
        <v>2328.277</v>
      </c>
      <c r="AA20">
        <f t="shared" si="22"/>
        <v>2245.4140000000007</v>
      </c>
      <c r="AB20">
        <f t="shared" si="22"/>
        <v>2271.8229999999999</v>
      </c>
      <c r="AC20">
        <f t="shared" si="22"/>
        <v>2099.2629999999999</v>
      </c>
      <c r="AD20">
        <f t="shared" si="22"/>
        <v>2125.1370000000006</v>
      </c>
      <c r="AE20">
        <f t="shared" si="22"/>
        <v>2313.6359999999995</v>
      </c>
      <c r="AF20">
        <f t="shared" si="22"/>
        <v>2247.7960000000003</v>
      </c>
      <c r="AG20">
        <f t="shared" si="22"/>
        <v>2245.1826999999994</v>
      </c>
      <c r="AH20">
        <f t="shared" si="22"/>
        <v>2384.7250000000008</v>
      </c>
    </row>
    <row r="21" spans="1:42" x14ac:dyDescent="0.2">
      <c r="A21" s="46" t="s">
        <v>179</v>
      </c>
      <c r="B21">
        <v>4.2080000000000002</v>
      </c>
      <c r="C21">
        <v>3.7469999999999999</v>
      </c>
      <c r="D21">
        <v>4.7359999999999998</v>
      </c>
      <c r="E21">
        <v>4.806</v>
      </c>
      <c r="F21">
        <v>5.0259999999999998</v>
      </c>
      <c r="G21">
        <v>4.9610000000000003</v>
      </c>
      <c r="H21">
        <v>5.0389999999999997</v>
      </c>
      <c r="I21">
        <v>4.9000000000000004</v>
      </c>
      <c r="J21">
        <v>6.5309999999999997</v>
      </c>
      <c r="K21">
        <v>5.806</v>
      </c>
      <c r="L21">
        <v>6.0439999999999996</v>
      </c>
      <c r="M21">
        <v>6.4669999999999996</v>
      </c>
      <c r="N21">
        <v>6.6310000000000002</v>
      </c>
      <c r="O21">
        <v>6.1849999999999996</v>
      </c>
      <c r="P21">
        <v>5.9889999999999999</v>
      </c>
      <c r="Q21">
        <v>5.984</v>
      </c>
      <c r="S21">
        <f t="shared" si="4"/>
        <v>20</v>
      </c>
      <c r="T21">
        <v>12</v>
      </c>
      <c r="X21">
        <f>X20/3.412*1000</f>
        <v>663365.76787807734</v>
      </c>
      <c r="Y21">
        <f t="shared" ref="Y21:AH21" si="23">Y20/3.412*1000</f>
        <v>675704.27901524049</v>
      </c>
      <c r="Z21">
        <f t="shared" si="23"/>
        <v>682378.95662368112</v>
      </c>
      <c r="AA21">
        <f t="shared" si="23"/>
        <v>658093.20046893333</v>
      </c>
      <c r="AB21">
        <f t="shared" si="23"/>
        <v>665833.2356389215</v>
      </c>
      <c r="AC21">
        <f t="shared" si="23"/>
        <v>615258.79249706923</v>
      </c>
      <c r="AD21">
        <f t="shared" si="23"/>
        <v>622842.02813599084</v>
      </c>
      <c r="AE21">
        <f t="shared" si="23"/>
        <v>678087.92497069156</v>
      </c>
      <c r="AF21">
        <f t="shared" si="23"/>
        <v>658791.32473622519</v>
      </c>
      <c r="AG21">
        <f t="shared" si="23"/>
        <v>658025.41031652968</v>
      </c>
      <c r="AH21">
        <f t="shared" si="23"/>
        <v>698922.91910902725</v>
      </c>
      <c r="AJ21" s="5">
        <f>SUM(AJ2:AJ19)</f>
        <v>2363.7070147999998</v>
      </c>
    </row>
    <row r="22" spans="1:42" x14ac:dyDescent="0.2">
      <c r="A22" s="46" t="s">
        <v>180</v>
      </c>
      <c r="B22">
        <v>5.0579999999999998</v>
      </c>
      <c r="C22">
        <v>5.391</v>
      </c>
      <c r="D22">
        <v>5.1369999999999996</v>
      </c>
      <c r="E22">
        <v>5.673</v>
      </c>
      <c r="F22">
        <v>5.25</v>
      </c>
      <c r="G22">
        <v>5.2830000000000004</v>
      </c>
      <c r="H22">
        <v>4.4489999999999998</v>
      </c>
      <c r="I22">
        <v>4.2779999999999996</v>
      </c>
      <c r="J22">
        <v>5.5810000000000004</v>
      </c>
      <c r="K22">
        <v>5.55</v>
      </c>
      <c r="L22">
        <v>5.0209999999999999</v>
      </c>
      <c r="M22">
        <v>5.6429999999999998</v>
      </c>
      <c r="N22">
        <v>6.266</v>
      </c>
      <c r="O22">
        <v>6.7210000000000001</v>
      </c>
      <c r="P22">
        <v>6.6310000000000002</v>
      </c>
      <c r="Q22">
        <v>6.1529999999999996</v>
      </c>
      <c r="S22">
        <f t="shared" si="4"/>
        <v>21</v>
      </c>
      <c r="T22">
        <v>12</v>
      </c>
      <c r="V22" t="s">
        <v>24</v>
      </c>
      <c r="AJ22" s="5">
        <f>SUM(AJ13:AJ19)</f>
        <v>541.58539519999999</v>
      </c>
    </row>
    <row r="23" spans="1:42" x14ac:dyDescent="0.2">
      <c r="A23" s="46" t="s">
        <v>187</v>
      </c>
      <c r="B23">
        <v>7.0250000000000004</v>
      </c>
      <c r="C23">
        <v>7.476</v>
      </c>
      <c r="D23">
        <v>7.5919999999999996</v>
      </c>
      <c r="E23">
        <v>7.7009999999999996</v>
      </c>
      <c r="F23">
        <v>7.3460000000000001</v>
      </c>
      <c r="G23">
        <v>7.4509999999999996</v>
      </c>
      <c r="H23">
        <v>8.202</v>
      </c>
      <c r="I23">
        <v>8.2390000000000008</v>
      </c>
      <c r="J23">
        <v>8.5009999999999994</v>
      </c>
      <c r="K23">
        <v>7.9729999999999999</v>
      </c>
      <c r="L23">
        <v>8.0609999999999999</v>
      </c>
      <c r="M23">
        <v>8.6080000000000005</v>
      </c>
      <c r="N23">
        <v>9.0180000000000007</v>
      </c>
      <c r="O23">
        <v>9.7759999999999998</v>
      </c>
      <c r="P23">
        <v>10.29</v>
      </c>
      <c r="Q23">
        <v>10.57</v>
      </c>
      <c r="S23">
        <f t="shared" si="4"/>
        <v>22</v>
      </c>
      <c r="T23">
        <v>12</v>
      </c>
    </row>
    <row r="24" spans="1:42" x14ac:dyDescent="0.2">
      <c r="A24" s="46" t="s">
        <v>181</v>
      </c>
      <c r="B24">
        <v>20.54</v>
      </c>
      <c r="C24">
        <v>20.71</v>
      </c>
      <c r="D24">
        <v>20.09</v>
      </c>
      <c r="E24">
        <v>20.16</v>
      </c>
      <c r="F24">
        <v>20.010000000000002</v>
      </c>
      <c r="G24">
        <v>19.97</v>
      </c>
      <c r="H24">
        <v>22.51</v>
      </c>
      <c r="I24">
        <v>19.760000000000002</v>
      </c>
      <c r="J24">
        <v>19.61</v>
      </c>
      <c r="K24">
        <v>19.57</v>
      </c>
      <c r="L24">
        <v>19.41</v>
      </c>
      <c r="M24">
        <v>21.62</v>
      </c>
      <c r="N24">
        <v>22.76</v>
      </c>
      <c r="O24">
        <v>22.98</v>
      </c>
      <c r="P24">
        <v>23.26</v>
      </c>
      <c r="Q24">
        <v>22.37</v>
      </c>
      <c r="S24">
        <f t="shared" si="4"/>
        <v>23</v>
      </c>
      <c r="T24">
        <v>12</v>
      </c>
    </row>
    <row r="25" spans="1:42" x14ac:dyDescent="0.2">
      <c r="A25" s="46" t="s">
        <v>182</v>
      </c>
      <c r="B25">
        <v>5.5670000000000002</v>
      </c>
      <c r="C25">
        <v>5.6669999999999998</v>
      </c>
      <c r="D25">
        <v>5.6790000000000003</v>
      </c>
      <c r="E25">
        <v>5.5750000000000002</v>
      </c>
      <c r="F25">
        <v>5.45</v>
      </c>
      <c r="G25">
        <v>5.4649999999999999</v>
      </c>
      <c r="H25">
        <v>4.2</v>
      </c>
      <c r="I25">
        <v>4.0430000000000001</v>
      </c>
      <c r="J25">
        <v>5.1340000000000003</v>
      </c>
      <c r="K25">
        <v>5.0730000000000004</v>
      </c>
      <c r="L25">
        <v>5.0570000000000004</v>
      </c>
      <c r="M25">
        <v>5.907</v>
      </c>
      <c r="N25">
        <v>6.21</v>
      </c>
      <c r="O25">
        <v>6.2779999999999996</v>
      </c>
      <c r="P25">
        <v>6.335</v>
      </c>
      <c r="Q25">
        <v>6.5910000000000002</v>
      </c>
      <c r="S25">
        <f t="shared" si="4"/>
        <v>24</v>
      </c>
      <c r="T25">
        <v>12</v>
      </c>
      <c r="V25" s="2" t="s">
        <v>12</v>
      </c>
      <c r="W25">
        <v>1</v>
      </c>
      <c r="X25">
        <f>X2</f>
        <v>140.86499999999998</v>
      </c>
      <c r="Y25">
        <f t="shared" ref="Y25:AE25" si="24">Y2</f>
        <v>142.619</v>
      </c>
      <c r="Z25">
        <f t="shared" si="24"/>
        <v>139.40800000000002</v>
      </c>
      <c r="AA25">
        <f t="shared" si="24"/>
        <v>145.053</v>
      </c>
      <c r="AB25">
        <f t="shared" si="24"/>
        <v>146.25200000000001</v>
      </c>
      <c r="AC25">
        <f t="shared" si="24"/>
        <v>161.78</v>
      </c>
      <c r="AD25">
        <f t="shared" si="24"/>
        <v>155.00300000000001</v>
      </c>
      <c r="AE25">
        <f t="shared" si="24"/>
        <v>159.57299999999998</v>
      </c>
      <c r="AF25" s="6">
        <f>'ASM2'!AG23</f>
        <v>159.61404240000002</v>
      </c>
      <c r="AG25" s="6">
        <f>'ASM2'!AH23</f>
        <v>162.34671320000001</v>
      </c>
      <c r="AH25" s="6">
        <f>'ASM2'!AI23</f>
        <v>175.813536</v>
      </c>
      <c r="AI25">
        <f>AH25/3.412*1000</f>
        <v>51528</v>
      </c>
    </row>
    <row r="26" spans="1:42" x14ac:dyDescent="0.2">
      <c r="A26" s="46" t="s">
        <v>183</v>
      </c>
      <c r="B26">
        <v>15.62</v>
      </c>
      <c r="C26">
        <v>15.73</v>
      </c>
      <c r="D26">
        <v>15.72</v>
      </c>
      <c r="E26">
        <v>15.36</v>
      </c>
      <c r="F26">
        <v>13.67</v>
      </c>
      <c r="G26">
        <v>13.58</v>
      </c>
      <c r="H26">
        <v>13.17</v>
      </c>
      <c r="I26">
        <v>14.97</v>
      </c>
      <c r="J26">
        <v>24.56</v>
      </c>
      <c r="K26">
        <v>17.61</v>
      </c>
      <c r="L26">
        <v>15.85</v>
      </c>
      <c r="M26">
        <v>24.2</v>
      </c>
      <c r="N26">
        <v>18.149999999999999</v>
      </c>
      <c r="O26">
        <v>18.239999999999998</v>
      </c>
      <c r="P26">
        <v>17.59</v>
      </c>
      <c r="Q26">
        <v>16.899999999999999</v>
      </c>
      <c r="S26">
        <f t="shared" si="4"/>
        <v>25</v>
      </c>
      <c r="T26">
        <v>12</v>
      </c>
      <c r="V26" s="2" t="s">
        <v>13</v>
      </c>
      <c r="W26">
        <f>W25+1</f>
        <v>2</v>
      </c>
      <c r="X26">
        <f t="shared" ref="X26:AE42" si="25">X3</f>
        <v>96.551000000000002</v>
      </c>
      <c r="Y26">
        <f t="shared" si="25"/>
        <v>96.179999999999993</v>
      </c>
      <c r="Z26">
        <f t="shared" si="25"/>
        <v>94.646999999999991</v>
      </c>
      <c r="AA26">
        <f t="shared" si="25"/>
        <v>91.671999999999997</v>
      </c>
      <c r="AB26">
        <f t="shared" si="25"/>
        <v>91.22</v>
      </c>
      <c r="AC26">
        <f t="shared" si="25"/>
        <v>85.969999999999985</v>
      </c>
      <c r="AD26">
        <f t="shared" si="25"/>
        <v>93.370999999999995</v>
      </c>
      <c r="AE26">
        <f t="shared" si="25"/>
        <v>95.367999999999995</v>
      </c>
      <c r="AF26" s="6">
        <f>'ASM2'!AG24</f>
        <v>91.731961199999986</v>
      </c>
      <c r="AG26" s="6">
        <f>'ASM2'!AH24</f>
        <v>94.829033600000017</v>
      </c>
      <c r="AH26" s="6">
        <f>'ASM2'!AI24</f>
        <v>106.82596680000002</v>
      </c>
      <c r="AI26">
        <f t="shared" ref="AI26:AI42" si="26">AH26/3.412*1000</f>
        <v>31308.900000000005</v>
      </c>
    </row>
    <row r="27" spans="1:42" x14ac:dyDescent="0.2">
      <c r="A27" s="46" t="s">
        <v>184</v>
      </c>
      <c r="B27">
        <v>29.79</v>
      </c>
      <c r="C27">
        <v>31.11</v>
      </c>
      <c r="D27">
        <v>31.02</v>
      </c>
      <c r="E27">
        <v>30.45</v>
      </c>
      <c r="F27">
        <v>29.64</v>
      </c>
      <c r="G27">
        <v>30.43</v>
      </c>
      <c r="H27">
        <v>29.55</v>
      </c>
      <c r="I27">
        <v>28.55</v>
      </c>
      <c r="J27">
        <v>33.72</v>
      </c>
      <c r="K27">
        <v>33.869999999999997</v>
      </c>
      <c r="L27">
        <v>33.840000000000003</v>
      </c>
      <c r="M27">
        <v>40.51</v>
      </c>
      <c r="N27">
        <v>43.78</v>
      </c>
      <c r="O27">
        <v>43.14</v>
      </c>
      <c r="P27">
        <v>42.97</v>
      </c>
      <c r="Q27">
        <v>41.78</v>
      </c>
      <c r="S27">
        <f t="shared" si="4"/>
        <v>26</v>
      </c>
      <c r="T27">
        <v>12</v>
      </c>
      <c r="V27" s="2" t="s">
        <v>14</v>
      </c>
      <c r="W27">
        <f t="shared" ref="W27:W42" si="27">W26+1</f>
        <v>3</v>
      </c>
      <c r="X27">
        <f t="shared" si="25"/>
        <v>25.074999999999999</v>
      </c>
      <c r="Y27">
        <f t="shared" si="25"/>
        <v>23.369</v>
      </c>
      <c r="Z27">
        <f t="shared" si="25"/>
        <v>20.447999999999997</v>
      </c>
      <c r="AA27">
        <f t="shared" si="25"/>
        <v>21.414000000000001</v>
      </c>
      <c r="AB27">
        <f t="shared" si="25"/>
        <v>21.235999999999997</v>
      </c>
      <c r="AC27">
        <f t="shared" si="25"/>
        <v>21.220000000000002</v>
      </c>
      <c r="AD27">
        <f t="shared" si="25"/>
        <v>21.192</v>
      </c>
      <c r="AE27">
        <f t="shared" si="25"/>
        <v>23.471999999999998</v>
      </c>
      <c r="AF27" s="6">
        <f>'ASM2'!AG25</f>
        <v>19.829520399999996</v>
      </c>
      <c r="AG27" s="6">
        <f>'ASM2'!AH25</f>
        <v>20.001826399999999</v>
      </c>
      <c r="AH27" s="6">
        <f>'ASM2'!AI25</f>
        <v>20.253290799999998</v>
      </c>
      <c r="AI27">
        <f t="shared" si="26"/>
        <v>5935.9</v>
      </c>
    </row>
    <row r="28" spans="1:42" x14ac:dyDescent="0.2">
      <c r="A28" s="46" t="s">
        <v>185</v>
      </c>
      <c r="B28">
        <v>7.899</v>
      </c>
      <c r="C28">
        <v>8.0250000000000004</v>
      </c>
      <c r="D28">
        <v>8.3629999999999995</v>
      </c>
      <c r="E28">
        <v>8.2929999999999993</v>
      </c>
      <c r="F28">
        <v>8.3460000000000001</v>
      </c>
      <c r="G28">
        <v>8.8620000000000001</v>
      </c>
      <c r="H28">
        <v>8.2330000000000005</v>
      </c>
      <c r="I28">
        <v>7.6589999999999998</v>
      </c>
      <c r="J28">
        <v>8.8030000000000008</v>
      </c>
      <c r="K28">
        <v>8.4</v>
      </c>
      <c r="L28">
        <v>8.0380000000000003</v>
      </c>
      <c r="M28">
        <v>8.42</v>
      </c>
      <c r="N28">
        <v>8.984</v>
      </c>
      <c r="O28">
        <v>8.65</v>
      </c>
      <c r="P28">
        <v>8.5719999999999992</v>
      </c>
      <c r="Q28">
        <v>8.9320000000000004</v>
      </c>
      <c r="S28">
        <f t="shared" si="4"/>
        <v>27</v>
      </c>
      <c r="T28">
        <v>13</v>
      </c>
      <c r="V28">
        <v>321</v>
      </c>
      <c r="W28">
        <f t="shared" si="27"/>
        <v>4</v>
      </c>
      <c r="X28">
        <f t="shared" si="25"/>
        <v>55.12</v>
      </c>
      <c r="Y28">
        <f t="shared" si="25"/>
        <v>56.872999999999998</v>
      </c>
      <c r="Z28">
        <f t="shared" si="25"/>
        <v>54.812999999999995</v>
      </c>
      <c r="AA28">
        <f t="shared" si="25"/>
        <v>50.050000000000004</v>
      </c>
      <c r="AB28">
        <f t="shared" si="25"/>
        <v>49.572000000000003</v>
      </c>
      <c r="AC28">
        <f t="shared" si="25"/>
        <v>49.875</v>
      </c>
      <c r="AD28">
        <f t="shared" si="25"/>
        <v>52.702999999999996</v>
      </c>
      <c r="AE28">
        <f t="shared" si="25"/>
        <v>57.087000000000003</v>
      </c>
      <c r="AF28" s="6">
        <f>'ASM2'!AG26</f>
        <v>57.203885999999997</v>
      </c>
      <c r="AG28" s="6">
        <f>'ASM2'!AH26</f>
        <v>60.595755200000006</v>
      </c>
      <c r="AH28" s="6">
        <f>'ASM2'!AI26</f>
        <v>70.843356</v>
      </c>
      <c r="AI28">
        <f t="shared" si="26"/>
        <v>20763</v>
      </c>
    </row>
    <row r="29" spans="1:42" x14ac:dyDescent="0.2">
      <c r="A29" s="46" t="s">
        <v>186</v>
      </c>
      <c r="B29">
        <v>6.7460000000000004</v>
      </c>
      <c r="C29">
        <v>7.1310000000000002</v>
      </c>
      <c r="D29">
        <v>6.8150000000000004</v>
      </c>
      <c r="E29">
        <v>7.415</v>
      </c>
      <c r="F29">
        <v>7.1109999999999998</v>
      </c>
      <c r="G29">
        <v>7.0140000000000002</v>
      </c>
      <c r="H29">
        <v>6.2130000000000001</v>
      </c>
      <c r="I29">
        <v>5.5830000000000002</v>
      </c>
      <c r="J29">
        <v>5.8739999999999997</v>
      </c>
      <c r="K29">
        <v>5.3040000000000003</v>
      </c>
      <c r="L29">
        <v>4.5819999999999999</v>
      </c>
      <c r="M29">
        <v>5.2670000000000003</v>
      </c>
      <c r="N29">
        <v>5.8019999999999996</v>
      </c>
      <c r="O29">
        <v>6.2069999999999999</v>
      </c>
      <c r="P29">
        <v>6.2030000000000003</v>
      </c>
      <c r="Q29">
        <v>6.1059999999999999</v>
      </c>
      <c r="S29">
        <f t="shared" si="4"/>
        <v>28</v>
      </c>
      <c r="T29">
        <v>13</v>
      </c>
      <c r="V29">
        <v>322</v>
      </c>
      <c r="W29">
        <f t="shared" si="27"/>
        <v>5</v>
      </c>
      <c r="X29">
        <f t="shared" si="25"/>
        <v>152.09</v>
      </c>
      <c r="Y29">
        <f t="shared" si="25"/>
        <v>155.65</v>
      </c>
      <c r="Z29">
        <f t="shared" si="25"/>
        <v>157.51999999999998</v>
      </c>
      <c r="AA29">
        <f t="shared" si="25"/>
        <v>169.56000000000003</v>
      </c>
      <c r="AB29">
        <f t="shared" si="25"/>
        <v>178.14</v>
      </c>
      <c r="AC29">
        <f t="shared" si="25"/>
        <v>172.49</v>
      </c>
      <c r="AD29">
        <f t="shared" si="25"/>
        <v>176.82000000000002</v>
      </c>
      <c r="AE29">
        <f t="shared" si="25"/>
        <v>182.95000000000002</v>
      </c>
      <c r="AF29" s="6">
        <f>'ASM2'!AG27</f>
        <v>178.95667040000001</v>
      </c>
      <c r="AG29" s="6">
        <f>'ASM2'!AH27</f>
        <v>198.8902568</v>
      </c>
      <c r="AH29" s="6">
        <f>'ASM2'!AI27</f>
        <v>202.15315239999998</v>
      </c>
      <c r="AI29">
        <f t="shared" si="26"/>
        <v>59247.7</v>
      </c>
    </row>
    <row r="30" spans="1:42" x14ac:dyDescent="0.2">
      <c r="A30" s="46" t="s">
        <v>188</v>
      </c>
      <c r="B30">
        <v>14.57</v>
      </c>
      <c r="C30">
        <v>14.3</v>
      </c>
      <c r="D30">
        <v>15.45</v>
      </c>
      <c r="E30">
        <v>15.97</v>
      </c>
      <c r="F30">
        <v>15.97</v>
      </c>
      <c r="G30">
        <v>16.7</v>
      </c>
      <c r="H30">
        <v>15.32</v>
      </c>
      <c r="I30">
        <v>13.08</v>
      </c>
      <c r="J30">
        <v>12.99</v>
      </c>
      <c r="K30">
        <v>12.27</v>
      </c>
      <c r="L30">
        <v>11.32</v>
      </c>
      <c r="M30">
        <v>11.35</v>
      </c>
      <c r="N30">
        <v>11.45</v>
      </c>
      <c r="O30">
        <v>11.69</v>
      </c>
      <c r="P30">
        <v>12.1</v>
      </c>
      <c r="Q30">
        <v>11.59</v>
      </c>
      <c r="S30">
        <f t="shared" si="4"/>
        <v>29</v>
      </c>
      <c r="T30">
        <v>13</v>
      </c>
      <c r="V30">
        <v>323</v>
      </c>
      <c r="W30">
        <f t="shared" si="27"/>
        <v>6</v>
      </c>
      <c r="X30">
        <f t="shared" si="25"/>
        <v>36.01</v>
      </c>
      <c r="Y30">
        <f t="shared" si="25"/>
        <v>35.299999999999997</v>
      </c>
      <c r="Z30">
        <f t="shared" si="25"/>
        <v>32.369999999999997</v>
      </c>
      <c r="AA30">
        <f t="shared" si="25"/>
        <v>32.94</v>
      </c>
      <c r="AB30">
        <f t="shared" si="25"/>
        <v>35.15</v>
      </c>
      <c r="AC30">
        <f t="shared" si="25"/>
        <v>36.299999999999997</v>
      </c>
      <c r="AD30">
        <f t="shared" si="25"/>
        <v>36.46</v>
      </c>
      <c r="AE30">
        <f t="shared" si="25"/>
        <v>42.9</v>
      </c>
      <c r="AF30" s="6">
        <f>'ASM2'!AG28</f>
        <v>42.249089999999995</v>
      </c>
      <c r="AG30" s="6">
        <f>'ASM2'!AH28</f>
        <v>45.046247599999994</v>
      </c>
      <c r="AH30" s="6">
        <f>'ASM2'!AI28</f>
        <v>51.207466600000004</v>
      </c>
      <c r="AI30">
        <f t="shared" si="26"/>
        <v>15008.050000000001</v>
      </c>
    </row>
    <row r="31" spans="1:42" x14ac:dyDescent="0.2">
      <c r="A31" s="46" t="s">
        <v>189</v>
      </c>
      <c r="B31">
        <v>2.9409999999999998</v>
      </c>
      <c r="C31">
        <v>2.996</v>
      </c>
      <c r="D31">
        <v>3.105</v>
      </c>
      <c r="E31">
        <v>3.2469999999999999</v>
      </c>
      <c r="F31">
        <v>3.0590000000000002</v>
      </c>
      <c r="G31">
        <v>2.972</v>
      </c>
      <c r="H31">
        <v>2.8039999999999998</v>
      </c>
      <c r="I31">
        <v>2.5760000000000001</v>
      </c>
      <c r="J31">
        <v>2.8069999999999999</v>
      </c>
      <c r="K31">
        <v>2.798</v>
      </c>
      <c r="L31">
        <v>2.8450000000000002</v>
      </c>
      <c r="M31">
        <v>3.0569999999999999</v>
      </c>
      <c r="N31">
        <v>3.0659999999999998</v>
      </c>
      <c r="O31">
        <v>3.1890000000000001</v>
      </c>
      <c r="P31">
        <v>3.355</v>
      </c>
      <c r="Q31">
        <v>2.9390000000000001</v>
      </c>
      <c r="S31">
        <f t="shared" si="4"/>
        <v>30</v>
      </c>
      <c r="T31">
        <v>13</v>
      </c>
      <c r="V31">
        <v>324</v>
      </c>
      <c r="W31">
        <f t="shared" si="27"/>
        <v>7</v>
      </c>
      <c r="X31">
        <f t="shared" si="25"/>
        <v>102.88200000000001</v>
      </c>
      <c r="Y31">
        <f t="shared" si="25"/>
        <v>103.25500000000001</v>
      </c>
      <c r="Z31">
        <f t="shared" si="25"/>
        <v>107.747</v>
      </c>
      <c r="AA31">
        <f t="shared" si="25"/>
        <v>109.911</v>
      </c>
      <c r="AB31">
        <f t="shared" si="25"/>
        <v>110.999</v>
      </c>
      <c r="AC31">
        <f t="shared" si="25"/>
        <v>116.59400000000001</v>
      </c>
      <c r="AD31">
        <f t="shared" si="25"/>
        <v>114.117</v>
      </c>
      <c r="AE31">
        <f t="shared" si="25"/>
        <v>118.729</v>
      </c>
      <c r="AF31" s="6">
        <f>'ASM2'!AG29</f>
        <v>119.877208</v>
      </c>
      <c r="AG31" s="6">
        <f>'ASM2'!AH29</f>
        <v>126.45008479999998</v>
      </c>
      <c r="AH31" s="6">
        <f>'ASM2'!AI29</f>
        <v>114.11706960000001</v>
      </c>
      <c r="AI31">
        <f t="shared" si="26"/>
        <v>33445.800000000003</v>
      </c>
    </row>
    <row r="32" spans="1:42" x14ac:dyDescent="0.2">
      <c r="A32" s="46" t="s">
        <v>190</v>
      </c>
      <c r="B32">
        <v>12.44</v>
      </c>
      <c r="C32">
        <v>12.75</v>
      </c>
      <c r="D32">
        <v>12.48</v>
      </c>
      <c r="E32">
        <v>12.75</v>
      </c>
      <c r="F32">
        <v>12.79</v>
      </c>
      <c r="G32">
        <v>13.17</v>
      </c>
      <c r="H32">
        <v>11.27</v>
      </c>
      <c r="I32">
        <v>9.9619999999999997</v>
      </c>
      <c r="J32">
        <v>11.06</v>
      </c>
      <c r="K32">
        <v>11.36</v>
      </c>
      <c r="L32">
        <v>12.01</v>
      </c>
      <c r="M32">
        <v>14.31</v>
      </c>
      <c r="N32">
        <v>15.18</v>
      </c>
      <c r="O32">
        <v>16.170000000000002</v>
      </c>
      <c r="P32">
        <v>16.25</v>
      </c>
      <c r="Q32">
        <v>16.04</v>
      </c>
      <c r="S32">
        <f t="shared" si="4"/>
        <v>31</v>
      </c>
      <c r="T32">
        <v>13</v>
      </c>
      <c r="V32">
        <v>325</v>
      </c>
      <c r="W32">
        <f t="shared" si="27"/>
        <v>8</v>
      </c>
      <c r="X32">
        <f t="shared" si="25"/>
        <v>485.13100000000003</v>
      </c>
      <c r="Y32">
        <f t="shared" si="25"/>
        <v>478.24799999999999</v>
      </c>
      <c r="Z32">
        <f t="shared" si="25"/>
        <v>478.37200000000001</v>
      </c>
      <c r="AA32">
        <f t="shared" si="25"/>
        <v>438.96300000000008</v>
      </c>
      <c r="AB32">
        <f t="shared" si="25"/>
        <v>436.74200000000002</v>
      </c>
      <c r="AC32">
        <f t="shared" si="25"/>
        <v>398.428</v>
      </c>
      <c r="AD32">
        <f t="shared" si="25"/>
        <v>422.375</v>
      </c>
      <c r="AE32">
        <f t="shared" si="25"/>
        <v>454.26100000000002</v>
      </c>
      <c r="AF32" s="6">
        <f>'ASM2'!AG30</f>
        <v>429.44284999999991</v>
      </c>
      <c r="AG32" s="6">
        <f>'ASM2'!AH30</f>
        <v>408.37272640000003</v>
      </c>
      <c r="AH32" s="6">
        <f>'ASM2'!AI30</f>
        <v>424.05530199999998</v>
      </c>
      <c r="AI32">
        <f t="shared" si="26"/>
        <v>124283.5</v>
      </c>
    </row>
    <row r="33" spans="1:44" x14ac:dyDescent="0.2">
      <c r="A33" s="46" t="s">
        <v>191</v>
      </c>
      <c r="B33">
        <v>7.4109999999999996</v>
      </c>
      <c r="C33">
        <v>6.8680000000000003</v>
      </c>
      <c r="D33">
        <v>7.1689999999999996</v>
      </c>
      <c r="E33">
        <v>6.7770000000000001</v>
      </c>
      <c r="F33">
        <v>6.5940000000000003</v>
      </c>
      <c r="G33">
        <v>6.5869999999999997</v>
      </c>
      <c r="H33">
        <v>7.0789999999999997</v>
      </c>
      <c r="I33">
        <v>5.9809999999999999</v>
      </c>
      <c r="J33">
        <v>6.7549999999999999</v>
      </c>
      <c r="K33">
        <v>7.3159999999999998</v>
      </c>
      <c r="L33">
        <v>7.1909999999999998</v>
      </c>
      <c r="M33">
        <v>8.4190000000000005</v>
      </c>
      <c r="N33">
        <v>8.7949999999999999</v>
      </c>
      <c r="O33">
        <v>8.6630000000000003</v>
      </c>
      <c r="P33">
        <v>8.9939999999999998</v>
      </c>
      <c r="Q33">
        <v>9.1980000000000004</v>
      </c>
      <c r="S33">
        <f t="shared" si="4"/>
        <v>32</v>
      </c>
      <c r="T33">
        <v>13</v>
      </c>
      <c r="V33">
        <v>326</v>
      </c>
      <c r="W33">
        <f t="shared" si="27"/>
        <v>9</v>
      </c>
      <c r="X33">
        <f t="shared" si="25"/>
        <v>76.97</v>
      </c>
      <c r="Y33">
        <f t="shared" si="25"/>
        <v>78.38</v>
      </c>
      <c r="Z33">
        <f t="shared" si="25"/>
        <v>77.92</v>
      </c>
      <c r="AA33">
        <f t="shared" si="25"/>
        <v>73.91</v>
      </c>
      <c r="AB33">
        <f t="shared" si="25"/>
        <v>78.180000000000007</v>
      </c>
      <c r="AC33">
        <f t="shared" si="25"/>
        <v>105.1</v>
      </c>
      <c r="AD33">
        <f t="shared" si="25"/>
        <v>109.3</v>
      </c>
      <c r="AE33">
        <f t="shared" si="25"/>
        <v>100.8</v>
      </c>
      <c r="AF33" s="6">
        <f>'ASM2'!AG31</f>
        <v>102.70972999999999</v>
      </c>
      <c r="AG33" s="6">
        <f>'ASM2'!AH31</f>
        <v>106.52741680000001</v>
      </c>
      <c r="AH33" s="6">
        <f>'ASM2'!AI31</f>
        <v>112.86896</v>
      </c>
      <c r="AI33">
        <f t="shared" si="26"/>
        <v>33080</v>
      </c>
    </row>
    <row r="34" spans="1:44" x14ac:dyDescent="0.2">
      <c r="A34" s="46" t="s">
        <v>192</v>
      </c>
      <c r="B34">
        <v>14.55</v>
      </c>
      <c r="C34">
        <v>15.53</v>
      </c>
      <c r="D34">
        <v>16.170000000000002</v>
      </c>
      <c r="E34">
        <v>16.579999999999998</v>
      </c>
      <c r="F34">
        <v>16.61</v>
      </c>
      <c r="G34">
        <v>16.829999999999998</v>
      </c>
      <c r="H34">
        <v>16.190000000000001</v>
      </c>
      <c r="I34">
        <v>15.38</v>
      </c>
      <c r="J34">
        <v>16.93</v>
      </c>
      <c r="K34">
        <v>16.48</v>
      </c>
      <c r="L34">
        <v>16.82</v>
      </c>
      <c r="M34">
        <v>16.440000000000001</v>
      </c>
      <c r="N34">
        <v>17.23</v>
      </c>
      <c r="O34">
        <v>18.010000000000002</v>
      </c>
      <c r="P34">
        <v>18.62</v>
      </c>
      <c r="Q34">
        <v>18.079999999999998</v>
      </c>
      <c r="S34">
        <f t="shared" si="4"/>
        <v>33</v>
      </c>
      <c r="T34">
        <v>13</v>
      </c>
      <c r="V34">
        <v>327</v>
      </c>
      <c r="W34">
        <f t="shared" si="27"/>
        <v>10</v>
      </c>
      <c r="X34">
        <f t="shared" si="25"/>
        <v>105.52000000000001</v>
      </c>
      <c r="Y34">
        <f t="shared" si="25"/>
        <v>111.75</v>
      </c>
      <c r="Z34">
        <f t="shared" si="25"/>
        <v>112.55</v>
      </c>
      <c r="AA34">
        <f t="shared" si="25"/>
        <v>104.09</v>
      </c>
      <c r="AB34">
        <f t="shared" si="25"/>
        <v>102.72999999999999</v>
      </c>
      <c r="AC34">
        <f t="shared" si="25"/>
        <v>95.11</v>
      </c>
      <c r="AD34">
        <f t="shared" si="25"/>
        <v>95.37</v>
      </c>
      <c r="AE34">
        <f t="shared" si="25"/>
        <v>102.50999999999999</v>
      </c>
      <c r="AF34" s="6">
        <f>'ASM2'!AG32</f>
        <v>104.12332160000001</v>
      </c>
      <c r="AG34" s="6">
        <f>'ASM2'!AH32</f>
        <v>107.91610079999998</v>
      </c>
      <c r="AH34" s="6">
        <f>'ASM2'!AI32</f>
        <v>113.658838</v>
      </c>
      <c r="AI34">
        <f t="shared" si="26"/>
        <v>33311.5</v>
      </c>
    </row>
    <row r="35" spans="1:44" x14ac:dyDescent="0.2">
      <c r="A35" s="46" t="s">
        <v>193</v>
      </c>
      <c r="B35">
        <v>10.220000000000001</v>
      </c>
      <c r="C35">
        <v>10.19</v>
      </c>
      <c r="D35">
        <v>11.11</v>
      </c>
      <c r="E35">
        <v>10.93</v>
      </c>
      <c r="F35">
        <v>11.08</v>
      </c>
      <c r="G35">
        <v>11.02</v>
      </c>
      <c r="H35">
        <v>10.51</v>
      </c>
      <c r="I35">
        <v>10.210000000000001</v>
      </c>
      <c r="J35">
        <v>10.1</v>
      </c>
      <c r="K35">
        <v>8.9120000000000008</v>
      </c>
      <c r="L35">
        <v>8.2260000000000009</v>
      </c>
      <c r="M35">
        <v>12</v>
      </c>
      <c r="N35">
        <v>15.77</v>
      </c>
      <c r="O35">
        <v>16.670000000000002</v>
      </c>
      <c r="P35">
        <v>16.43</v>
      </c>
      <c r="Q35">
        <v>16.350000000000001</v>
      </c>
      <c r="S35">
        <f t="shared" si="4"/>
        <v>34</v>
      </c>
      <c r="T35">
        <v>13</v>
      </c>
      <c r="V35">
        <v>331</v>
      </c>
      <c r="W35">
        <f t="shared" si="27"/>
        <v>11</v>
      </c>
      <c r="X35">
        <f t="shared" si="25"/>
        <v>561.74</v>
      </c>
      <c r="Y35">
        <f t="shared" si="25"/>
        <v>586.45000000000005</v>
      </c>
      <c r="Z35">
        <f t="shared" si="25"/>
        <v>610.53999999999985</v>
      </c>
      <c r="AA35">
        <f t="shared" si="25"/>
        <v>575.86</v>
      </c>
      <c r="AB35">
        <f t="shared" si="25"/>
        <v>580.99</v>
      </c>
      <c r="AC35">
        <f t="shared" si="25"/>
        <v>420.37</v>
      </c>
      <c r="AD35">
        <f t="shared" si="25"/>
        <v>410.43</v>
      </c>
      <c r="AE35">
        <f t="shared" si="25"/>
        <v>490.01</v>
      </c>
      <c r="AF35" s="6">
        <f>'ASM2'!AG33</f>
        <v>454.3153064</v>
      </c>
      <c r="AG35" s="6">
        <f>'ASM2'!AH33</f>
        <v>428.01424559999998</v>
      </c>
      <c r="AH35" s="6">
        <f>'ASM2'!AI33</f>
        <v>445.84160439999999</v>
      </c>
      <c r="AI35">
        <f t="shared" si="26"/>
        <v>130668.7</v>
      </c>
    </row>
    <row r="36" spans="1:44" x14ac:dyDescent="0.2">
      <c r="A36" s="46" t="s">
        <v>194</v>
      </c>
      <c r="B36">
        <v>10.050000000000001</v>
      </c>
      <c r="C36">
        <v>9.5609999999999999</v>
      </c>
      <c r="D36">
        <v>11.25</v>
      </c>
      <c r="E36">
        <v>12.49</v>
      </c>
      <c r="F36">
        <v>14.19</v>
      </c>
      <c r="G36">
        <v>15.54</v>
      </c>
      <c r="H36">
        <v>17.600000000000001</v>
      </c>
      <c r="I36">
        <v>20.48</v>
      </c>
      <c r="J36">
        <v>17.399999999999999</v>
      </c>
      <c r="K36">
        <v>20.69</v>
      </c>
      <c r="L36">
        <v>21.38</v>
      </c>
      <c r="M36">
        <v>21.15</v>
      </c>
      <c r="N36">
        <v>20.39</v>
      </c>
      <c r="O36">
        <v>21.62</v>
      </c>
      <c r="P36">
        <v>20.58</v>
      </c>
      <c r="Q36">
        <v>20.309999999999999</v>
      </c>
      <c r="S36">
        <f t="shared" si="4"/>
        <v>35</v>
      </c>
      <c r="T36">
        <v>14</v>
      </c>
      <c r="V36">
        <v>332</v>
      </c>
      <c r="W36">
        <f t="shared" si="27"/>
        <v>12</v>
      </c>
      <c r="X36">
        <f t="shared" si="25"/>
        <v>89.831000000000003</v>
      </c>
      <c r="Y36">
        <f t="shared" si="25"/>
        <v>89.974000000000004</v>
      </c>
      <c r="Z36">
        <f t="shared" si="25"/>
        <v>89.725000000000009</v>
      </c>
      <c r="AA36">
        <f t="shared" si="25"/>
        <v>86.39200000000001</v>
      </c>
      <c r="AB36">
        <f t="shared" si="25"/>
        <v>87.139999999999986</v>
      </c>
      <c r="AC36">
        <f t="shared" si="25"/>
        <v>87.12</v>
      </c>
      <c r="AD36">
        <f t="shared" si="25"/>
        <v>84.740000000000009</v>
      </c>
      <c r="AE36">
        <f t="shared" si="25"/>
        <v>103.637</v>
      </c>
      <c r="AF36" s="6">
        <f>'ASM2'!AG34</f>
        <v>95.447629199999994</v>
      </c>
      <c r="AG36" s="6">
        <f>'ASM2'!AH34</f>
        <v>93.285103599999999</v>
      </c>
      <c r="AH36" s="6">
        <f>'ASM2'!AI34</f>
        <v>107.30296439999998</v>
      </c>
      <c r="AI36">
        <f t="shared" si="26"/>
        <v>31448.699999999993</v>
      </c>
    </row>
    <row r="37" spans="1:44" x14ac:dyDescent="0.2">
      <c r="A37" s="46" t="s">
        <v>195</v>
      </c>
      <c r="B37">
        <v>8.5879999999999992</v>
      </c>
      <c r="C37">
        <v>9.6940000000000008</v>
      </c>
      <c r="D37">
        <v>10.78</v>
      </c>
      <c r="E37">
        <v>9.1820000000000004</v>
      </c>
      <c r="F37">
        <v>8.5839999999999996</v>
      </c>
      <c r="G37">
        <v>9.0239999999999991</v>
      </c>
      <c r="H37">
        <v>9.0589999999999993</v>
      </c>
      <c r="I37">
        <v>9.3160000000000007</v>
      </c>
      <c r="J37">
        <v>10.33</v>
      </c>
      <c r="K37">
        <v>9.9930000000000003</v>
      </c>
      <c r="L37">
        <v>10.11</v>
      </c>
      <c r="M37">
        <v>11.1</v>
      </c>
      <c r="N37">
        <v>10.99</v>
      </c>
      <c r="O37">
        <v>13.3</v>
      </c>
      <c r="P37">
        <v>14.22</v>
      </c>
      <c r="Q37">
        <v>13.77</v>
      </c>
      <c r="S37">
        <f t="shared" si="4"/>
        <v>36</v>
      </c>
      <c r="T37">
        <v>13</v>
      </c>
      <c r="V37">
        <v>333</v>
      </c>
      <c r="W37">
        <f t="shared" si="27"/>
        <v>13</v>
      </c>
      <c r="X37">
        <f t="shared" si="25"/>
        <v>93.820000000000007</v>
      </c>
      <c r="Y37">
        <f t="shared" si="25"/>
        <v>98.097999999999999</v>
      </c>
      <c r="Z37">
        <f t="shared" si="25"/>
        <v>98.283999999999992</v>
      </c>
      <c r="AA37">
        <f t="shared" si="25"/>
        <v>97.373999999999995</v>
      </c>
      <c r="AB37">
        <f t="shared" si="25"/>
        <v>99.641000000000005</v>
      </c>
      <c r="AC37">
        <f t="shared" si="25"/>
        <v>94.296000000000006</v>
      </c>
      <c r="AD37">
        <f t="shared" si="25"/>
        <v>87.562000000000012</v>
      </c>
      <c r="AE37">
        <f t="shared" si="25"/>
        <v>94.379999999999981</v>
      </c>
      <c r="AF37" s="6">
        <f>'ASM2'!AG35</f>
        <v>91.40918600000002</v>
      </c>
      <c r="AG37" s="6">
        <f>'ASM2'!AH35</f>
        <v>89.682031599999988</v>
      </c>
      <c r="AH37" s="6">
        <f>'ASM2'!AI35</f>
        <v>100.69016720000002</v>
      </c>
      <c r="AI37">
        <f t="shared" si="26"/>
        <v>29510.600000000006</v>
      </c>
    </row>
    <row r="38" spans="1:44" x14ac:dyDescent="0.2">
      <c r="A38" s="46" t="s">
        <v>196</v>
      </c>
      <c r="B38">
        <v>18.649999999999999</v>
      </c>
      <c r="C38">
        <v>19.850000000000001</v>
      </c>
      <c r="D38">
        <v>20.73</v>
      </c>
      <c r="E38">
        <v>22.38</v>
      </c>
      <c r="F38">
        <v>21.14</v>
      </c>
      <c r="G38">
        <v>20.56</v>
      </c>
      <c r="H38">
        <v>19.93</v>
      </c>
      <c r="I38">
        <v>19.64</v>
      </c>
      <c r="J38">
        <v>21.23</v>
      </c>
      <c r="K38">
        <v>19.93</v>
      </c>
      <c r="L38">
        <v>19.760000000000002</v>
      </c>
      <c r="M38">
        <v>18.66</v>
      </c>
      <c r="N38">
        <v>18.829999999999998</v>
      </c>
      <c r="O38">
        <v>19.510000000000002</v>
      </c>
      <c r="P38">
        <v>19.239999999999998</v>
      </c>
      <c r="Q38">
        <v>18.72</v>
      </c>
      <c r="S38">
        <f t="shared" si="4"/>
        <v>37</v>
      </c>
      <c r="T38">
        <v>15</v>
      </c>
      <c r="V38">
        <v>334</v>
      </c>
      <c r="W38">
        <f t="shared" si="27"/>
        <v>14</v>
      </c>
      <c r="X38">
        <f t="shared" si="25"/>
        <v>61.380999999999993</v>
      </c>
      <c r="Y38">
        <f t="shared" si="25"/>
        <v>65.210000000000008</v>
      </c>
      <c r="Z38">
        <f t="shared" si="25"/>
        <v>69.849999999999994</v>
      </c>
      <c r="AA38">
        <f t="shared" si="25"/>
        <v>74.44</v>
      </c>
      <c r="AB38">
        <f t="shared" si="25"/>
        <v>79.39</v>
      </c>
      <c r="AC38">
        <f t="shared" si="25"/>
        <v>84.740000000000009</v>
      </c>
      <c r="AD38">
        <f t="shared" si="25"/>
        <v>88.86</v>
      </c>
      <c r="AE38">
        <f t="shared" si="25"/>
        <v>96.54</v>
      </c>
      <c r="AF38" s="6">
        <f>'ASM2'!AG36</f>
        <v>101.92428760000001</v>
      </c>
      <c r="AG38" s="6">
        <f>'ASM2'!AH36</f>
        <v>106.58234999999999</v>
      </c>
      <c r="AH38" s="6">
        <f>'ASM2'!AI36</f>
        <v>114.093868</v>
      </c>
      <c r="AI38">
        <f t="shared" si="26"/>
        <v>33439</v>
      </c>
    </row>
    <row r="39" spans="1:44" x14ac:dyDescent="0.2">
      <c r="A39" s="46" t="s">
        <v>197</v>
      </c>
      <c r="B39">
        <v>8.68</v>
      </c>
      <c r="C39">
        <v>9.2569999999999997</v>
      </c>
      <c r="D39">
        <v>9.3019999999999996</v>
      </c>
      <c r="E39">
        <v>9.0510000000000002</v>
      </c>
      <c r="F39">
        <v>8.484</v>
      </c>
      <c r="G39">
        <v>8.16</v>
      </c>
      <c r="H39">
        <v>8.35</v>
      </c>
      <c r="I39">
        <v>8.2240000000000002</v>
      </c>
      <c r="J39">
        <v>8.8520000000000003</v>
      </c>
      <c r="K39">
        <v>8.2469999999999999</v>
      </c>
      <c r="L39">
        <v>8.4499999999999993</v>
      </c>
      <c r="M39">
        <v>8.4719999999999995</v>
      </c>
      <c r="N39">
        <v>8.4559999999999995</v>
      </c>
      <c r="O39">
        <v>8.3640000000000008</v>
      </c>
      <c r="P39">
        <v>8.6829999999999998</v>
      </c>
      <c r="Q39">
        <v>8.0180000000000007</v>
      </c>
      <c r="S39">
        <f t="shared" si="4"/>
        <v>38</v>
      </c>
      <c r="T39">
        <v>15</v>
      </c>
      <c r="V39">
        <v>335</v>
      </c>
      <c r="W39">
        <f t="shared" si="27"/>
        <v>15</v>
      </c>
      <c r="X39">
        <f t="shared" si="25"/>
        <v>46.012999999999998</v>
      </c>
      <c r="Y39">
        <f t="shared" si="25"/>
        <v>47.622</v>
      </c>
      <c r="Z39">
        <f t="shared" si="25"/>
        <v>48.641999999999996</v>
      </c>
      <c r="AA39">
        <f t="shared" si="25"/>
        <v>45.693000000000005</v>
      </c>
      <c r="AB39">
        <f t="shared" si="25"/>
        <v>45.231999999999999</v>
      </c>
      <c r="AC39">
        <f t="shared" si="25"/>
        <v>45.436999999999998</v>
      </c>
      <c r="AD39">
        <f t="shared" si="25"/>
        <v>45.957000000000001</v>
      </c>
      <c r="AE39">
        <f t="shared" si="25"/>
        <v>49.016999999999996</v>
      </c>
      <c r="AF39" s="6">
        <f>'ASM2'!AG37</f>
        <v>46.962085600000002</v>
      </c>
      <c r="AG39" s="6">
        <f>'ASM2'!AH37</f>
        <v>47.870360000000005</v>
      </c>
      <c r="AH39" s="6">
        <f>'ASM2'!AI37</f>
        <v>50.752476399999999</v>
      </c>
      <c r="AI39">
        <f t="shared" si="26"/>
        <v>14874.7</v>
      </c>
      <c r="AP39">
        <v>1985</v>
      </c>
      <c r="AQ39">
        <v>1986</v>
      </c>
      <c r="AR39">
        <v>1987</v>
      </c>
    </row>
    <row r="40" spans="1:44" x14ac:dyDescent="0.2">
      <c r="A40" s="46" t="s">
        <v>198</v>
      </c>
      <c r="B40">
        <v>7.9059999999999997</v>
      </c>
      <c r="C40">
        <v>7.96</v>
      </c>
      <c r="D40">
        <v>8.0050000000000008</v>
      </c>
      <c r="E40">
        <v>7.923</v>
      </c>
      <c r="F40">
        <v>7.6180000000000003</v>
      </c>
      <c r="G40">
        <v>7.8090000000000002</v>
      </c>
      <c r="H40">
        <v>8.6069999999999993</v>
      </c>
      <c r="I40">
        <v>9.4</v>
      </c>
      <c r="J40">
        <v>8.9469999999999992</v>
      </c>
      <c r="K40">
        <v>9.0990000000000002</v>
      </c>
      <c r="L40">
        <v>9.5</v>
      </c>
      <c r="M40">
        <v>10.050000000000001</v>
      </c>
      <c r="N40">
        <v>10.59</v>
      </c>
      <c r="O40">
        <v>10.35</v>
      </c>
      <c r="P40">
        <v>10.64</v>
      </c>
      <c r="Q40">
        <v>10.25</v>
      </c>
      <c r="S40">
        <f t="shared" si="4"/>
        <v>39</v>
      </c>
      <c r="T40">
        <v>15</v>
      </c>
      <c r="V40">
        <v>336</v>
      </c>
      <c r="W40">
        <f t="shared" si="27"/>
        <v>16</v>
      </c>
      <c r="X40">
        <f t="shared" si="25"/>
        <v>106.038</v>
      </c>
      <c r="Y40">
        <f t="shared" si="25"/>
        <v>108.39700000000001</v>
      </c>
      <c r="Z40">
        <f t="shared" si="25"/>
        <v>109.081</v>
      </c>
      <c r="AA40">
        <f t="shared" si="25"/>
        <v>102.259</v>
      </c>
      <c r="AB40">
        <f t="shared" si="25"/>
        <v>102.68199999999999</v>
      </c>
      <c r="AC40">
        <f t="shared" si="25"/>
        <v>98.325999999999993</v>
      </c>
      <c r="AD40">
        <f t="shared" si="25"/>
        <v>103.93599999999999</v>
      </c>
      <c r="AE40">
        <f t="shared" si="25"/>
        <v>114.23799999999999</v>
      </c>
      <c r="AF40" s="8">
        <f>AP40*3.412*0.001</f>
        <v>117.838538</v>
      </c>
      <c r="AG40" s="8">
        <f>AQ40*3.412*0.001</f>
        <v>122.2557132</v>
      </c>
      <c r="AH40" s="8">
        <f>AR40*3.412*0.001</f>
        <v>130.6492332</v>
      </c>
      <c r="AI40">
        <f t="shared" si="26"/>
        <v>38291.1</v>
      </c>
      <c r="AL40" t="s">
        <v>26</v>
      </c>
      <c r="AP40">
        <v>34536.5</v>
      </c>
      <c r="AQ40">
        <v>35831.1</v>
      </c>
      <c r="AR40">
        <v>38291.1</v>
      </c>
    </row>
    <row r="41" spans="1:44" x14ac:dyDescent="0.2">
      <c r="A41" s="46" t="s">
        <v>199</v>
      </c>
      <c r="B41">
        <v>18.079999999999998</v>
      </c>
      <c r="C41">
        <v>18.96</v>
      </c>
      <c r="D41">
        <v>19.8</v>
      </c>
      <c r="E41">
        <v>20.170000000000002</v>
      </c>
      <c r="F41">
        <v>21.23</v>
      </c>
      <c r="G41">
        <v>22.21</v>
      </c>
      <c r="H41">
        <v>23.29</v>
      </c>
      <c r="I41">
        <v>23.56</v>
      </c>
      <c r="J41">
        <v>26.29</v>
      </c>
      <c r="K41">
        <v>28.35</v>
      </c>
      <c r="L41">
        <v>29.75</v>
      </c>
      <c r="M41">
        <v>12.53</v>
      </c>
      <c r="N41">
        <v>12.68</v>
      </c>
      <c r="O41">
        <v>13.37</v>
      </c>
      <c r="P41">
        <v>14.56</v>
      </c>
      <c r="Q41">
        <v>14.84</v>
      </c>
      <c r="S41">
        <f t="shared" si="4"/>
        <v>40</v>
      </c>
      <c r="T41">
        <v>14</v>
      </c>
      <c r="V41">
        <v>337</v>
      </c>
      <c r="W41">
        <f t="shared" si="27"/>
        <v>17</v>
      </c>
      <c r="X41">
        <f t="shared" si="25"/>
        <v>14.297000000000001</v>
      </c>
      <c r="Y41">
        <f t="shared" si="25"/>
        <v>14.518000000000001</v>
      </c>
      <c r="Z41">
        <f t="shared" si="25"/>
        <v>13.760000000000002</v>
      </c>
      <c r="AA41">
        <f t="shared" si="25"/>
        <v>13.483000000000001</v>
      </c>
      <c r="AB41">
        <f t="shared" si="25"/>
        <v>14.137</v>
      </c>
      <c r="AC41">
        <f t="shared" si="25"/>
        <v>13.647</v>
      </c>
      <c r="AD41">
        <f t="shared" si="25"/>
        <v>14.561</v>
      </c>
      <c r="AE41">
        <f t="shared" si="25"/>
        <v>15.513999999999999</v>
      </c>
      <c r="AF41" s="6">
        <f>'ASM2'!AG39</f>
        <v>15.2693824</v>
      </c>
      <c r="AG41" s="6">
        <f>'ASM2'!AH39</f>
        <v>15.963042</v>
      </c>
      <c r="AH41" s="6">
        <f>'ASM2'!AI39</f>
        <v>19.492073600000001</v>
      </c>
      <c r="AI41">
        <f t="shared" si="26"/>
        <v>5712.8</v>
      </c>
    </row>
    <row r="42" spans="1:44" x14ac:dyDescent="0.2">
      <c r="A42" s="46" t="s">
        <v>200</v>
      </c>
      <c r="B42">
        <v>19.62</v>
      </c>
      <c r="C42">
        <v>20.49</v>
      </c>
      <c r="D42">
        <v>21.48</v>
      </c>
      <c r="E42">
        <v>24.4</v>
      </c>
      <c r="F42">
        <v>25.82</v>
      </c>
      <c r="G42">
        <v>28.19</v>
      </c>
      <c r="H42">
        <v>29.81</v>
      </c>
      <c r="I42">
        <v>30.06</v>
      </c>
      <c r="J42">
        <v>36.65</v>
      </c>
      <c r="K42">
        <v>36.67</v>
      </c>
      <c r="L42">
        <v>38.17</v>
      </c>
      <c r="M42">
        <v>43.66</v>
      </c>
      <c r="N42">
        <v>44.84</v>
      </c>
      <c r="O42">
        <v>46.57</v>
      </c>
      <c r="P42">
        <v>48.52</v>
      </c>
      <c r="Q42">
        <v>48.31</v>
      </c>
      <c r="S42">
        <f t="shared" si="4"/>
        <v>41</v>
      </c>
      <c r="T42">
        <v>14</v>
      </c>
      <c r="V42">
        <v>339</v>
      </c>
      <c r="W42">
        <f t="shared" si="27"/>
        <v>18</v>
      </c>
      <c r="X42">
        <f t="shared" si="25"/>
        <v>14.07</v>
      </c>
      <c r="Y42">
        <f t="shared" si="25"/>
        <v>13.61</v>
      </c>
      <c r="Z42">
        <f t="shared" si="25"/>
        <v>12.6</v>
      </c>
      <c r="AA42">
        <f t="shared" si="25"/>
        <v>12.35</v>
      </c>
      <c r="AB42">
        <f t="shared" si="25"/>
        <v>12.39</v>
      </c>
      <c r="AC42">
        <f t="shared" si="25"/>
        <v>12.46</v>
      </c>
      <c r="AD42">
        <f t="shared" si="25"/>
        <v>12.38</v>
      </c>
      <c r="AE42">
        <f t="shared" si="25"/>
        <v>12.65</v>
      </c>
      <c r="AF42" s="6">
        <f>'ASM2'!AG40</f>
        <v>11.8935496</v>
      </c>
      <c r="AG42" s="6">
        <f>'ASM2'!AH40</f>
        <v>12.127954000000001</v>
      </c>
      <c r="AH42" s="6">
        <f>'ASM2'!AI40</f>
        <v>15.821102799999998</v>
      </c>
      <c r="AI42">
        <f t="shared" si="26"/>
        <v>4636.8999999999996</v>
      </c>
    </row>
    <row r="43" spans="1:44" x14ac:dyDescent="0.2">
      <c r="A43" s="46" t="s">
        <v>201</v>
      </c>
      <c r="B43">
        <v>7.9640000000000004</v>
      </c>
      <c r="C43">
        <v>8.9459999999999997</v>
      </c>
      <c r="D43">
        <v>9.5850000000000009</v>
      </c>
      <c r="E43">
        <v>9.2880000000000003</v>
      </c>
      <c r="F43">
        <v>8.4510000000000005</v>
      </c>
      <c r="G43">
        <v>8.7029999999999994</v>
      </c>
      <c r="H43">
        <v>8.5500000000000007</v>
      </c>
      <c r="I43">
        <v>8.6929999999999996</v>
      </c>
      <c r="J43">
        <v>9.9879999999999995</v>
      </c>
      <c r="K43">
        <v>9.6839999999999993</v>
      </c>
      <c r="L43">
        <v>10.16</v>
      </c>
      <c r="M43">
        <v>13.57</v>
      </c>
      <c r="N43">
        <v>14.59</v>
      </c>
      <c r="O43">
        <v>14.88</v>
      </c>
      <c r="P43">
        <v>13.71</v>
      </c>
      <c r="Q43">
        <v>13.35</v>
      </c>
      <c r="S43">
        <f t="shared" si="4"/>
        <v>42</v>
      </c>
      <c r="T43">
        <v>15</v>
      </c>
    </row>
    <row r="44" spans="1:44" x14ac:dyDescent="0.2">
      <c r="A44" s="46" t="s">
        <v>202</v>
      </c>
      <c r="B44">
        <v>60.55</v>
      </c>
      <c r="C44">
        <v>65.790000000000006</v>
      </c>
      <c r="D44">
        <v>66.849999999999994</v>
      </c>
      <c r="E44">
        <v>64.59</v>
      </c>
      <c r="F44">
        <v>55.55</v>
      </c>
      <c r="G44">
        <v>57.95</v>
      </c>
      <c r="H44">
        <v>53.94</v>
      </c>
      <c r="I44">
        <v>59.33</v>
      </c>
      <c r="J44">
        <v>67</v>
      </c>
      <c r="K44">
        <v>68.17</v>
      </c>
      <c r="L44">
        <v>70</v>
      </c>
      <c r="M44">
        <v>74.7</v>
      </c>
      <c r="N44">
        <v>78.08</v>
      </c>
      <c r="O44">
        <v>75.62</v>
      </c>
      <c r="P44">
        <v>77.16</v>
      </c>
      <c r="Q44">
        <v>73.569999999999993</v>
      </c>
      <c r="S44">
        <f t="shared" si="4"/>
        <v>43</v>
      </c>
      <c r="T44">
        <v>16</v>
      </c>
      <c r="AF44" s="5">
        <f>SUM(AF25:AF42)</f>
        <v>2240.7982447999998</v>
      </c>
      <c r="AG44" s="5">
        <f>SUM(AG25:AG42)</f>
        <v>2246.7569616000001</v>
      </c>
      <c r="AH44" s="5">
        <f>SUM(AH25:AH42)</f>
        <v>2376.4404282</v>
      </c>
    </row>
    <row r="45" spans="1:44" x14ac:dyDescent="0.2">
      <c r="A45" s="46" t="s">
        <v>203</v>
      </c>
      <c r="B45">
        <v>5.1040000000000001</v>
      </c>
      <c r="C45">
        <v>4.298</v>
      </c>
      <c r="D45">
        <v>4.0369999999999999</v>
      </c>
      <c r="E45">
        <v>4.0709999999999997</v>
      </c>
      <c r="F45">
        <v>3.9289999999999998</v>
      </c>
      <c r="G45">
        <v>3.992</v>
      </c>
      <c r="H45">
        <v>3.6659999999999999</v>
      </c>
      <c r="I45">
        <v>3.9830000000000001</v>
      </c>
      <c r="J45">
        <v>4.6449999999999996</v>
      </c>
      <c r="K45">
        <v>6.45</v>
      </c>
      <c r="L45">
        <v>7.5060000000000002</v>
      </c>
      <c r="M45">
        <v>7.7889999999999997</v>
      </c>
      <c r="N45">
        <v>8.0709999999999997</v>
      </c>
      <c r="O45">
        <v>8.7479999999999993</v>
      </c>
      <c r="P45">
        <v>8.6579999999999995</v>
      </c>
      <c r="Q45">
        <v>8.0730000000000004</v>
      </c>
      <c r="S45">
        <f t="shared" si="4"/>
        <v>44</v>
      </c>
      <c r="T45">
        <v>16</v>
      </c>
      <c r="AF45">
        <f>AF44/3.412*1000</f>
        <v>656740.39999999991</v>
      </c>
      <c r="AG45">
        <f>AG44/3.412*1000</f>
        <v>658486.80000000005</v>
      </c>
      <c r="AH45">
        <f>AH44/3.412*1000</f>
        <v>696494.85000000009</v>
      </c>
    </row>
    <row r="46" spans="1:44" x14ac:dyDescent="0.2">
      <c r="A46" s="46" t="s">
        <v>204</v>
      </c>
      <c r="B46">
        <v>23.28</v>
      </c>
      <c r="C46">
        <v>23.96</v>
      </c>
      <c r="D46">
        <v>25.28</v>
      </c>
      <c r="E46">
        <v>27.52</v>
      </c>
      <c r="F46">
        <v>30.14</v>
      </c>
      <c r="G46">
        <v>28.36</v>
      </c>
      <c r="H46">
        <v>29.77</v>
      </c>
      <c r="I46">
        <v>31.27</v>
      </c>
      <c r="J46">
        <v>32.71</v>
      </c>
      <c r="K46">
        <v>33.08</v>
      </c>
      <c r="L46">
        <v>35.4</v>
      </c>
      <c r="M46">
        <v>38.46</v>
      </c>
      <c r="N46">
        <v>39.94</v>
      </c>
      <c r="O46">
        <v>40.159999999999997</v>
      </c>
      <c r="P46">
        <v>42.46</v>
      </c>
      <c r="Q46">
        <v>40.6</v>
      </c>
      <c r="S46">
        <f t="shared" si="4"/>
        <v>45</v>
      </c>
      <c r="T46">
        <v>16</v>
      </c>
      <c r="AF46" s="5">
        <f>SUM(AF36:AF42)</f>
        <v>480.74465840000005</v>
      </c>
      <c r="AG46" s="5">
        <f>SUM(AG36:AG42)</f>
        <v>487.7665543999999</v>
      </c>
      <c r="AH46" s="5">
        <f>SUM(AH36:AH42)</f>
        <v>538.80188559999999</v>
      </c>
    </row>
    <row r="47" spans="1:44" x14ac:dyDescent="0.2">
      <c r="A47" s="46" t="s">
        <v>205</v>
      </c>
      <c r="B47">
        <v>12.24</v>
      </c>
      <c r="C47">
        <v>11.99</v>
      </c>
      <c r="D47">
        <v>12.23</v>
      </c>
      <c r="E47">
        <v>12.9</v>
      </c>
      <c r="F47">
        <v>12.64</v>
      </c>
      <c r="G47">
        <v>12.38</v>
      </c>
      <c r="H47">
        <v>10.95</v>
      </c>
      <c r="I47">
        <v>9.3529999999999998</v>
      </c>
      <c r="J47">
        <v>9.8829999999999991</v>
      </c>
      <c r="K47">
        <v>10.14</v>
      </c>
      <c r="L47">
        <v>10.39</v>
      </c>
      <c r="M47">
        <v>10.88</v>
      </c>
      <c r="N47">
        <v>11.13</v>
      </c>
      <c r="O47">
        <v>11.42</v>
      </c>
      <c r="P47">
        <v>11.16</v>
      </c>
      <c r="Q47">
        <v>10.87</v>
      </c>
      <c r="S47">
        <f t="shared" si="4"/>
        <v>46</v>
      </c>
      <c r="T47">
        <v>16</v>
      </c>
    </row>
    <row r="48" spans="1:44" x14ac:dyDescent="0.2">
      <c r="A48" s="46" t="s">
        <v>206</v>
      </c>
      <c r="B48">
        <v>11.19</v>
      </c>
      <c r="C48">
        <v>12.37</v>
      </c>
      <c r="D48">
        <v>12.68</v>
      </c>
      <c r="E48">
        <v>12.79</v>
      </c>
      <c r="F48">
        <v>13.2</v>
      </c>
      <c r="G48">
        <v>13.45</v>
      </c>
      <c r="H48">
        <v>14.04</v>
      </c>
      <c r="I48">
        <v>14.76</v>
      </c>
      <c r="J48">
        <v>16.2</v>
      </c>
      <c r="K48">
        <v>16.43</v>
      </c>
      <c r="L48">
        <v>17.510000000000002</v>
      </c>
      <c r="M48">
        <v>36.97</v>
      </c>
      <c r="N48">
        <v>38.869999999999997</v>
      </c>
      <c r="O48">
        <v>38.909999999999997</v>
      </c>
      <c r="P48">
        <v>40.85</v>
      </c>
      <c r="Q48">
        <v>39.590000000000003</v>
      </c>
      <c r="S48">
        <f t="shared" si="4"/>
        <v>47</v>
      </c>
      <c r="T48">
        <v>14</v>
      </c>
    </row>
    <row r="49" spans="1:32" x14ac:dyDescent="0.2">
      <c r="A49" s="46" t="s">
        <v>207</v>
      </c>
      <c r="B49">
        <v>6.0629999999999997</v>
      </c>
      <c r="C49">
        <v>6.3360000000000003</v>
      </c>
      <c r="D49">
        <v>6.6559999999999997</v>
      </c>
      <c r="E49">
        <v>7.14</v>
      </c>
      <c r="F49">
        <v>7.23</v>
      </c>
      <c r="G49">
        <v>7.4619999999999997</v>
      </c>
      <c r="H49">
        <v>7.6180000000000003</v>
      </c>
      <c r="I49">
        <v>7.8150000000000004</v>
      </c>
      <c r="J49">
        <v>8.7309999999999999</v>
      </c>
      <c r="K49">
        <v>8.5820000000000007</v>
      </c>
      <c r="L49">
        <v>8.5299999999999994</v>
      </c>
      <c r="M49">
        <v>7.8159999999999998</v>
      </c>
      <c r="N49">
        <v>8.1449999999999996</v>
      </c>
      <c r="O49">
        <v>8.6660000000000004</v>
      </c>
      <c r="P49">
        <v>8.5790000000000006</v>
      </c>
      <c r="Q49">
        <v>8.2669999999999995</v>
      </c>
      <c r="S49">
        <f t="shared" si="4"/>
        <v>48</v>
      </c>
      <c r="T49">
        <v>13</v>
      </c>
      <c r="V49" t="s">
        <v>25</v>
      </c>
    </row>
    <row r="50" spans="1:32" x14ac:dyDescent="0.2">
      <c r="A50" s="46" t="s">
        <v>208</v>
      </c>
      <c r="B50">
        <v>12.7</v>
      </c>
      <c r="C50">
        <v>14.07</v>
      </c>
      <c r="D50">
        <v>13.61</v>
      </c>
      <c r="E50">
        <v>12.6</v>
      </c>
      <c r="F50">
        <v>12.35</v>
      </c>
      <c r="G50">
        <v>12.39</v>
      </c>
      <c r="H50">
        <v>12.46</v>
      </c>
      <c r="I50">
        <v>12.38</v>
      </c>
      <c r="J50">
        <v>12.65</v>
      </c>
      <c r="K50">
        <v>11.89</v>
      </c>
      <c r="L50">
        <v>12.13</v>
      </c>
      <c r="M50">
        <v>15.82</v>
      </c>
      <c r="N50">
        <v>16.350000000000001</v>
      </c>
      <c r="O50">
        <v>16.95</v>
      </c>
      <c r="P50">
        <v>17.36</v>
      </c>
      <c r="Q50">
        <v>16.77</v>
      </c>
      <c r="S50">
        <f t="shared" si="4"/>
        <v>49</v>
      </c>
      <c r="T50">
        <v>18</v>
      </c>
      <c r="V50" s="2" t="s">
        <v>12</v>
      </c>
      <c r="AF50">
        <f t="shared" ref="AF50:AF67" si="28">AF72*3.412*0.001</f>
        <v>159.61404240000002</v>
      </c>
    </row>
    <row r="51" spans="1:32" x14ac:dyDescent="0.2">
      <c r="A51" s="46" t="s">
        <v>209</v>
      </c>
      <c r="B51">
        <v>133.30000000000001</v>
      </c>
      <c r="C51">
        <v>136.6</v>
      </c>
      <c r="D51">
        <v>138.30000000000001</v>
      </c>
      <c r="E51">
        <v>134.9</v>
      </c>
      <c r="F51">
        <v>140.30000000000001</v>
      </c>
      <c r="G51">
        <v>141.4</v>
      </c>
      <c r="H51">
        <v>156.80000000000001</v>
      </c>
      <c r="I51">
        <v>149.80000000000001</v>
      </c>
      <c r="J51">
        <v>154.69999999999999</v>
      </c>
      <c r="K51">
        <v>154.9</v>
      </c>
      <c r="L51">
        <v>157.9</v>
      </c>
      <c r="M51">
        <v>171</v>
      </c>
      <c r="N51">
        <v>175.6</v>
      </c>
      <c r="O51">
        <v>177.1</v>
      </c>
      <c r="P51">
        <v>178.5</v>
      </c>
      <c r="Q51">
        <v>183.6</v>
      </c>
      <c r="S51">
        <f t="shared" si="4"/>
        <v>50</v>
      </c>
      <c r="T51">
        <v>1</v>
      </c>
      <c r="V51" s="2" t="s">
        <v>13</v>
      </c>
      <c r="AF51">
        <f t="shared" si="28"/>
        <v>87.091641199999998</v>
      </c>
    </row>
    <row r="52" spans="1:32" x14ac:dyDescent="0.2">
      <c r="A52" s="46" t="s">
        <v>210</v>
      </c>
      <c r="B52">
        <v>3.835</v>
      </c>
      <c r="C52">
        <v>4.2649999999999997</v>
      </c>
      <c r="D52">
        <v>4.319</v>
      </c>
      <c r="E52">
        <v>4.508</v>
      </c>
      <c r="F52">
        <v>4.7530000000000001</v>
      </c>
      <c r="G52">
        <v>4.8520000000000003</v>
      </c>
      <c r="H52">
        <v>4.9800000000000004</v>
      </c>
      <c r="I52">
        <v>5.2030000000000003</v>
      </c>
      <c r="J52">
        <v>4.8730000000000002</v>
      </c>
      <c r="K52">
        <v>5.0709999999999997</v>
      </c>
      <c r="L52">
        <v>4.8070000000000004</v>
      </c>
      <c r="M52">
        <v>5.2089999999999996</v>
      </c>
      <c r="N52">
        <v>5.31</v>
      </c>
      <c r="O52">
        <v>5.2460000000000004</v>
      </c>
      <c r="P52">
        <v>5.24</v>
      </c>
      <c r="Q52">
        <v>5.3369999999999997</v>
      </c>
      <c r="S52">
        <f t="shared" si="4"/>
        <v>51</v>
      </c>
      <c r="T52">
        <v>1</v>
      </c>
      <c r="V52" s="2" t="s">
        <v>14</v>
      </c>
      <c r="AF52">
        <f t="shared" si="28"/>
        <v>24.469840399999999</v>
      </c>
    </row>
    <row r="53" spans="1:32" x14ac:dyDescent="0.2">
      <c r="A53" s="46" t="s">
        <v>211</v>
      </c>
      <c r="B53">
        <v>71.7</v>
      </c>
      <c r="C53">
        <v>70.42</v>
      </c>
      <c r="D53">
        <v>68.209999999999994</v>
      </c>
      <c r="E53">
        <v>67.73</v>
      </c>
      <c r="F53">
        <v>66.55</v>
      </c>
      <c r="G53">
        <v>66.459999999999994</v>
      </c>
      <c r="H53">
        <v>61.9</v>
      </c>
      <c r="I53">
        <v>68.42</v>
      </c>
      <c r="J53">
        <v>68.97</v>
      </c>
      <c r="K53">
        <v>65.91</v>
      </c>
      <c r="L53">
        <v>67.959999999999994</v>
      </c>
      <c r="M53">
        <v>74.61</v>
      </c>
      <c r="N53">
        <v>74.66</v>
      </c>
      <c r="O53">
        <v>74.38</v>
      </c>
      <c r="P53">
        <v>72.03</v>
      </c>
      <c r="Q53">
        <v>73.05</v>
      </c>
      <c r="S53">
        <f t="shared" si="4"/>
        <v>52</v>
      </c>
      <c r="T53">
        <v>2</v>
      </c>
      <c r="V53">
        <v>321</v>
      </c>
      <c r="AF53">
        <f t="shared" si="28"/>
        <v>57.203885999999997</v>
      </c>
    </row>
    <row r="54" spans="1:32" x14ac:dyDescent="0.2">
      <c r="A54" s="46" t="s">
        <v>212</v>
      </c>
      <c r="B54">
        <v>10.52</v>
      </c>
      <c r="C54">
        <v>11.01</v>
      </c>
      <c r="D54">
        <v>11.53</v>
      </c>
      <c r="E54">
        <v>10.91</v>
      </c>
      <c r="F54">
        <v>9.9079999999999995</v>
      </c>
      <c r="G54">
        <v>10.11</v>
      </c>
      <c r="H54">
        <v>9.6669999999999998</v>
      </c>
      <c r="I54">
        <v>10.210000000000001</v>
      </c>
      <c r="J54">
        <v>11.16</v>
      </c>
      <c r="K54">
        <v>10.83</v>
      </c>
      <c r="L54">
        <v>11.64</v>
      </c>
      <c r="M54">
        <v>14.74</v>
      </c>
      <c r="N54">
        <v>15.46</v>
      </c>
      <c r="O54">
        <v>16.63</v>
      </c>
      <c r="P54">
        <v>15.61</v>
      </c>
      <c r="Q54">
        <v>15.31</v>
      </c>
      <c r="S54">
        <f t="shared" si="4"/>
        <v>53</v>
      </c>
      <c r="T54">
        <v>2</v>
      </c>
      <c r="V54">
        <v>322</v>
      </c>
      <c r="AF54">
        <f t="shared" si="28"/>
        <v>178.95667039999998</v>
      </c>
    </row>
    <row r="55" spans="1:32" x14ac:dyDescent="0.2">
      <c r="A55" s="46" t="s">
        <v>213</v>
      </c>
      <c r="B55">
        <v>10.74</v>
      </c>
      <c r="C55">
        <v>10.44</v>
      </c>
      <c r="D55">
        <v>12.05</v>
      </c>
      <c r="E55">
        <v>11.85</v>
      </c>
      <c r="F55">
        <v>11.34</v>
      </c>
      <c r="G55">
        <v>10.71</v>
      </c>
      <c r="H55">
        <v>9.9359999999999999</v>
      </c>
      <c r="I55">
        <v>10.52</v>
      </c>
      <c r="J55">
        <v>10.62</v>
      </c>
      <c r="K55">
        <v>10.35</v>
      </c>
      <c r="L55">
        <v>10.41</v>
      </c>
      <c r="M55">
        <v>11.72</v>
      </c>
      <c r="N55">
        <v>11.58</v>
      </c>
      <c r="O55">
        <v>12.42</v>
      </c>
      <c r="P55">
        <v>12.17</v>
      </c>
      <c r="Q55">
        <v>12.67</v>
      </c>
      <c r="S55">
        <f t="shared" si="4"/>
        <v>54</v>
      </c>
      <c r="T55">
        <v>2</v>
      </c>
      <c r="V55">
        <v>323</v>
      </c>
      <c r="AF55">
        <f t="shared" si="28"/>
        <v>42.249089999999995</v>
      </c>
    </row>
    <row r="56" spans="1:32" x14ac:dyDescent="0.2">
      <c r="A56" s="46" t="s">
        <v>214</v>
      </c>
      <c r="B56">
        <v>20.91</v>
      </c>
      <c r="C56">
        <v>20.239999999999998</v>
      </c>
      <c r="D56">
        <v>18.62</v>
      </c>
      <c r="E56">
        <v>16.11</v>
      </c>
      <c r="F56">
        <v>16.77</v>
      </c>
      <c r="G56">
        <v>16.73</v>
      </c>
      <c r="H56">
        <v>17.14</v>
      </c>
      <c r="I56">
        <v>17.100000000000001</v>
      </c>
      <c r="J56">
        <v>19.43</v>
      </c>
      <c r="K56">
        <v>16.27</v>
      </c>
      <c r="L56">
        <v>16.68</v>
      </c>
      <c r="M56">
        <v>16.739999999999998</v>
      </c>
      <c r="N56">
        <v>17.28</v>
      </c>
      <c r="O56">
        <v>14.22</v>
      </c>
      <c r="P56">
        <v>13.79</v>
      </c>
      <c r="Q56">
        <v>13.35</v>
      </c>
      <c r="S56">
        <f t="shared" si="4"/>
        <v>55</v>
      </c>
      <c r="T56">
        <v>3</v>
      </c>
      <c r="V56">
        <v>324</v>
      </c>
      <c r="AF56">
        <f t="shared" si="28"/>
        <v>119.877208</v>
      </c>
    </row>
    <row r="57" spans="1:32" x14ac:dyDescent="0.2">
      <c r="A57" s="46" t="s">
        <v>215</v>
      </c>
      <c r="B57">
        <v>4.7939999999999996</v>
      </c>
      <c r="C57">
        <v>4.681</v>
      </c>
      <c r="D57">
        <v>4.3899999999999997</v>
      </c>
      <c r="E57">
        <v>4.157</v>
      </c>
      <c r="F57">
        <v>3.8740000000000001</v>
      </c>
      <c r="G57">
        <v>3.94</v>
      </c>
      <c r="H57">
        <v>4.4669999999999996</v>
      </c>
      <c r="I57">
        <v>4.2210000000000001</v>
      </c>
      <c r="J57">
        <v>4.6180000000000003</v>
      </c>
      <c r="K57">
        <v>4.6399999999999997</v>
      </c>
      <c r="L57">
        <v>4.819</v>
      </c>
      <c r="M57">
        <v>5.7469999999999999</v>
      </c>
      <c r="N57">
        <v>5.6360000000000001</v>
      </c>
      <c r="O57">
        <v>5.8159999999999998</v>
      </c>
      <c r="P57">
        <v>6.1230000000000002</v>
      </c>
      <c r="Q57">
        <v>6.08</v>
      </c>
      <c r="S57">
        <f t="shared" si="4"/>
        <v>56</v>
      </c>
      <c r="T57">
        <v>2</v>
      </c>
      <c r="V57">
        <v>325</v>
      </c>
      <c r="AF57">
        <f t="shared" si="28"/>
        <v>429.44284999999996</v>
      </c>
    </row>
    <row r="58" spans="1:32" x14ac:dyDescent="0.2">
      <c r="A58" s="46" t="s">
        <v>216</v>
      </c>
      <c r="B58">
        <v>121.3</v>
      </c>
      <c r="C58">
        <v>123.6</v>
      </c>
      <c r="D58">
        <v>125.6</v>
      </c>
      <c r="E58">
        <v>127.5</v>
      </c>
      <c r="F58">
        <v>138.80000000000001</v>
      </c>
      <c r="G58">
        <v>147.1</v>
      </c>
      <c r="H58">
        <v>142.30000000000001</v>
      </c>
      <c r="I58">
        <v>143.80000000000001</v>
      </c>
      <c r="J58">
        <v>148.30000000000001</v>
      </c>
      <c r="K58">
        <v>144.4</v>
      </c>
      <c r="L58">
        <v>149.80000000000001</v>
      </c>
      <c r="M58">
        <v>155.6</v>
      </c>
      <c r="N58">
        <v>161.4</v>
      </c>
      <c r="O58">
        <v>165.2</v>
      </c>
      <c r="P58">
        <v>178</v>
      </c>
      <c r="Q58">
        <v>180.6</v>
      </c>
      <c r="S58">
        <f t="shared" si="4"/>
        <v>57</v>
      </c>
      <c r="T58">
        <v>5</v>
      </c>
      <c r="V58">
        <v>326</v>
      </c>
      <c r="AF58">
        <f t="shared" si="28"/>
        <v>102.70972999999999</v>
      </c>
    </row>
    <row r="59" spans="1:32" x14ac:dyDescent="0.2">
      <c r="A59" s="46" t="s">
        <v>217</v>
      </c>
      <c r="B59">
        <v>15.73</v>
      </c>
      <c r="C59">
        <v>16.809999999999999</v>
      </c>
      <c r="D59">
        <v>18.239999999999998</v>
      </c>
      <c r="E59">
        <v>18.579999999999998</v>
      </c>
      <c r="F59">
        <v>19.43</v>
      </c>
      <c r="G59">
        <v>19.36</v>
      </c>
      <c r="H59">
        <v>18.73</v>
      </c>
      <c r="I59">
        <v>20.65</v>
      </c>
      <c r="J59">
        <v>21.99</v>
      </c>
      <c r="K59">
        <v>21.65</v>
      </c>
      <c r="L59">
        <v>23.45</v>
      </c>
      <c r="M59">
        <v>25.54</v>
      </c>
      <c r="N59">
        <v>27.62</v>
      </c>
      <c r="O59">
        <v>28.61</v>
      </c>
      <c r="P59">
        <v>29.18</v>
      </c>
      <c r="Q59">
        <v>30.35</v>
      </c>
      <c r="S59">
        <f t="shared" si="4"/>
        <v>58</v>
      </c>
      <c r="T59">
        <v>5</v>
      </c>
      <c r="V59">
        <v>327</v>
      </c>
      <c r="AD59">
        <f>AD81*3.412*0.001</f>
        <v>84.732243199999999</v>
      </c>
      <c r="AE59">
        <f>AE81*3.412*0.001</f>
        <v>102.50705719999999</v>
      </c>
      <c r="AF59">
        <f t="shared" si="28"/>
        <v>104.1233216</v>
      </c>
    </row>
    <row r="60" spans="1:32" x14ac:dyDescent="0.2">
      <c r="A60" s="46" t="s">
        <v>218</v>
      </c>
      <c r="B60">
        <v>11.29</v>
      </c>
      <c r="C60">
        <v>11.68</v>
      </c>
      <c r="D60">
        <v>11.81</v>
      </c>
      <c r="E60">
        <v>11.44</v>
      </c>
      <c r="F60">
        <v>11.33</v>
      </c>
      <c r="G60">
        <v>11.68</v>
      </c>
      <c r="H60">
        <v>11.46</v>
      </c>
      <c r="I60">
        <v>12.37</v>
      </c>
      <c r="J60">
        <v>12.66</v>
      </c>
      <c r="K60">
        <v>13.62</v>
      </c>
      <c r="L60">
        <v>15.34</v>
      </c>
      <c r="M60">
        <v>16.28</v>
      </c>
      <c r="N60">
        <v>17.149999999999999</v>
      </c>
      <c r="O60">
        <v>18.829999999999998</v>
      </c>
      <c r="P60">
        <v>18.86</v>
      </c>
      <c r="Q60">
        <v>18.23</v>
      </c>
      <c r="S60">
        <f t="shared" si="4"/>
        <v>59</v>
      </c>
      <c r="T60">
        <v>5</v>
      </c>
      <c r="V60">
        <v>331</v>
      </c>
      <c r="AF60">
        <f t="shared" si="28"/>
        <v>454.31496520000002</v>
      </c>
    </row>
    <row r="61" spans="1:32" x14ac:dyDescent="0.2">
      <c r="A61" s="46" t="s">
        <v>219</v>
      </c>
      <c r="B61">
        <v>34.54</v>
      </c>
      <c r="C61">
        <v>36.01</v>
      </c>
      <c r="D61">
        <v>35.299999999999997</v>
      </c>
      <c r="E61">
        <v>32.369999999999997</v>
      </c>
      <c r="F61">
        <v>32.94</v>
      </c>
      <c r="G61">
        <v>35.15</v>
      </c>
      <c r="H61">
        <v>36.299999999999997</v>
      </c>
      <c r="I61">
        <v>36.46</v>
      </c>
      <c r="J61">
        <v>42.9</v>
      </c>
      <c r="K61">
        <v>42.25</v>
      </c>
      <c r="L61">
        <v>45.05</v>
      </c>
      <c r="M61">
        <v>51.21</v>
      </c>
      <c r="N61">
        <v>57.37</v>
      </c>
      <c r="O61">
        <v>56.86</v>
      </c>
      <c r="P61">
        <v>59.22</v>
      </c>
      <c r="Q61">
        <v>58.33</v>
      </c>
      <c r="S61">
        <f t="shared" si="4"/>
        <v>60</v>
      </c>
      <c r="T61">
        <v>6</v>
      </c>
      <c r="V61">
        <v>332</v>
      </c>
      <c r="AF61">
        <f t="shared" si="28"/>
        <v>95.447629199999994</v>
      </c>
    </row>
    <row r="62" spans="1:32" x14ac:dyDescent="0.2">
      <c r="A62" s="46" t="s">
        <v>220</v>
      </c>
      <c r="B62">
        <v>350.2</v>
      </c>
      <c r="C62">
        <v>355</v>
      </c>
      <c r="D62">
        <v>343.3</v>
      </c>
      <c r="E62">
        <v>332.5</v>
      </c>
      <c r="F62">
        <v>299.2</v>
      </c>
      <c r="G62">
        <v>292.5</v>
      </c>
      <c r="H62">
        <v>267.10000000000002</v>
      </c>
      <c r="I62">
        <v>293.7</v>
      </c>
      <c r="J62">
        <v>316.5</v>
      </c>
      <c r="K62">
        <v>289.89999999999998</v>
      </c>
      <c r="L62">
        <v>271.8</v>
      </c>
      <c r="M62">
        <v>277.60000000000002</v>
      </c>
      <c r="N62">
        <v>279</v>
      </c>
      <c r="O62">
        <v>304.8</v>
      </c>
      <c r="P62">
        <v>328.4</v>
      </c>
      <c r="Q62">
        <v>330.7</v>
      </c>
      <c r="S62">
        <f t="shared" si="4"/>
        <v>61</v>
      </c>
      <c r="T62">
        <v>8</v>
      </c>
      <c r="V62">
        <v>333</v>
      </c>
      <c r="AF62">
        <f t="shared" si="28"/>
        <v>103.2942056</v>
      </c>
    </row>
    <row r="63" spans="1:32" x14ac:dyDescent="0.2">
      <c r="A63" s="46" t="s">
        <v>221</v>
      </c>
      <c r="B63">
        <v>28.78</v>
      </c>
      <c r="C63">
        <v>30.27</v>
      </c>
      <c r="D63">
        <v>29.89</v>
      </c>
      <c r="E63">
        <v>28.3</v>
      </c>
      <c r="F63">
        <v>28.8</v>
      </c>
      <c r="G63">
        <v>28.72</v>
      </c>
      <c r="H63">
        <v>25.23</v>
      </c>
      <c r="I63">
        <v>22.32</v>
      </c>
      <c r="J63">
        <v>25.23</v>
      </c>
      <c r="K63">
        <v>24.12</v>
      </c>
      <c r="L63">
        <v>19.5</v>
      </c>
      <c r="M63">
        <v>19.3</v>
      </c>
      <c r="N63">
        <v>21.06</v>
      </c>
      <c r="O63">
        <v>20.3</v>
      </c>
      <c r="P63">
        <v>21.89</v>
      </c>
      <c r="Q63">
        <v>21.51</v>
      </c>
      <c r="S63">
        <f t="shared" si="4"/>
        <v>62</v>
      </c>
      <c r="T63">
        <v>8</v>
      </c>
      <c r="V63">
        <v>334</v>
      </c>
      <c r="AF63">
        <f t="shared" si="28"/>
        <v>25.009618799999998</v>
      </c>
    </row>
    <row r="64" spans="1:32" x14ac:dyDescent="0.2">
      <c r="A64" s="46" t="s">
        <v>222</v>
      </c>
      <c r="B64">
        <v>3.4729999999999999</v>
      </c>
      <c r="C64">
        <v>3.2280000000000002</v>
      </c>
      <c r="D64">
        <v>3.3650000000000002</v>
      </c>
      <c r="E64">
        <v>4.0119999999999996</v>
      </c>
      <c r="F64">
        <v>4.1820000000000004</v>
      </c>
      <c r="G64">
        <v>5.1230000000000002</v>
      </c>
      <c r="H64">
        <v>4.82</v>
      </c>
      <c r="I64">
        <v>5.0010000000000003</v>
      </c>
      <c r="J64">
        <v>5.5490000000000004</v>
      </c>
      <c r="K64">
        <v>5.4379999999999997</v>
      </c>
      <c r="L64">
        <v>5.423</v>
      </c>
      <c r="M64">
        <v>5.5220000000000002</v>
      </c>
      <c r="N64">
        <v>5.6219999999999999</v>
      </c>
      <c r="O64">
        <v>5.6820000000000004</v>
      </c>
      <c r="P64">
        <v>5.782</v>
      </c>
      <c r="Q64">
        <v>5.3890000000000002</v>
      </c>
      <c r="S64">
        <f t="shared" si="4"/>
        <v>63</v>
      </c>
      <c r="T64">
        <v>8</v>
      </c>
      <c r="V64">
        <v>335</v>
      </c>
      <c r="AF64">
        <f t="shared" si="28"/>
        <v>111.992076</v>
      </c>
    </row>
    <row r="65" spans="1:32" x14ac:dyDescent="0.2">
      <c r="A65" s="46" t="s">
        <v>223</v>
      </c>
      <c r="B65">
        <v>28</v>
      </c>
      <c r="C65">
        <v>31.38</v>
      </c>
      <c r="D65">
        <v>34.11</v>
      </c>
      <c r="E65">
        <v>41.52</v>
      </c>
      <c r="F65">
        <v>40.549999999999997</v>
      </c>
      <c r="G65">
        <v>41.81</v>
      </c>
      <c r="H65">
        <v>35.340000000000003</v>
      </c>
      <c r="I65">
        <v>34.61</v>
      </c>
      <c r="J65">
        <v>37.74</v>
      </c>
      <c r="K65">
        <v>40.42</v>
      </c>
      <c r="L65">
        <v>41.31</v>
      </c>
      <c r="M65">
        <v>48.3</v>
      </c>
      <c r="N65">
        <v>46.75</v>
      </c>
      <c r="O65">
        <v>48.42</v>
      </c>
      <c r="P65">
        <v>50.45</v>
      </c>
      <c r="Q65">
        <v>52.41</v>
      </c>
      <c r="S65">
        <f t="shared" si="4"/>
        <v>64</v>
      </c>
      <c r="T65">
        <v>8</v>
      </c>
      <c r="V65">
        <v>336</v>
      </c>
      <c r="AF65">
        <f t="shared" si="28"/>
        <v>117.838538</v>
      </c>
    </row>
    <row r="66" spans="1:32" x14ac:dyDescent="0.2">
      <c r="A66" s="46" t="s">
        <v>224</v>
      </c>
      <c r="B66">
        <v>4.4589999999999996</v>
      </c>
      <c r="C66">
        <v>4.5380000000000003</v>
      </c>
      <c r="D66">
        <v>4.6970000000000001</v>
      </c>
      <c r="E66">
        <v>5.3949999999999996</v>
      </c>
      <c r="F66">
        <v>4.8360000000000003</v>
      </c>
      <c r="G66">
        <v>4.9119999999999999</v>
      </c>
      <c r="H66">
        <v>5.0359999999999996</v>
      </c>
      <c r="I66">
        <v>4.8490000000000002</v>
      </c>
      <c r="J66">
        <v>4.7770000000000001</v>
      </c>
      <c r="K66">
        <v>4.3719999999999999</v>
      </c>
      <c r="L66">
        <v>4.4870000000000001</v>
      </c>
      <c r="M66">
        <v>5.8129999999999997</v>
      </c>
      <c r="N66">
        <v>5.9539999999999997</v>
      </c>
      <c r="O66">
        <v>5.85</v>
      </c>
      <c r="P66">
        <v>6.3310000000000004</v>
      </c>
      <c r="Q66">
        <v>6.0670000000000002</v>
      </c>
      <c r="S66">
        <f t="shared" si="4"/>
        <v>65</v>
      </c>
      <c r="T66">
        <v>8</v>
      </c>
      <c r="V66">
        <v>337</v>
      </c>
      <c r="AF66">
        <f t="shared" si="28"/>
        <v>15.2693824</v>
      </c>
    </row>
    <row r="67" spans="1:32" x14ac:dyDescent="0.2">
      <c r="A67" s="46" t="s">
        <v>225</v>
      </c>
      <c r="B67">
        <v>24.8</v>
      </c>
      <c r="C67">
        <v>27.49</v>
      </c>
      <c r="D67">
        <v>27.35</v>
      </c>
      <c r="E67">
        <v>28.34</v>
      </c>
      <c r="F67">
        <v>26.05</v>
      </c>
      <c r="G67">
        <v>25.91</v>
      </c>
      <c r="H67">
        <v>23.3</v>
      </c>
      <c r="I67">
        <v>24.29</v>
      </c>
      <c r="J67">
        <v>24.23</v>
      </c>
      <c r="K67">
        <v>23.92</v>
      </c>
      <c r="L67">
        <v>24.67</v>
      </c>
      <c r="M67">
        <v>23.04</v>
      </c>
      <c r="N67">
        <v>22.56</v>
      </c>
      <c r="O67">
        <v>23.85</v>
      </c>
      <c r="P67">
        <v>23.41</v>
      </c>
      <c r="Q67">
        <v>23.65</v>
      </c>
      <c r="S67">
        <f t="shared" si="4"/>
        <v>66</v>
      </c>
      <c r="T67">
        <v>8</v>
      </c>
      <c r="V67">
        <v>339</v>
      </c>
      <c r="AF67">
        <f t="shared" si="28"/>
        <v>11.8935496</v>
      </c>
    </row>
    <row r="68" spans="1:32" x14ac:dyDescent="0.2">
      <c r="A68" s="46" t="s">
        <v>226</v>
      </c>
      <c r="B68">
        <v>19.04</v>
      </c>
      <c r="C68">
        <v>19.989999999999998</v>
      </c>
      <c r="D68">
        <v>21.51</v>
      </c>
      <c r="E68">
        <v>21.6</v>
      </c>
      <c r="F68">
        <v>22.74</v>
      </c>
      <c r="G68">
        <v>23.77</v>
      </c>
      <c r="H68">
        <v>24.36</v>
      </c>
      <c r="I68">
        <v>23.99</v>
      </c>
      <c r="J68">
        <v>24.67</v>
      </c>
      <c r="K68">
        <v>24.28</v>
      </c>
      <c r="L68">
        <v>25.39</v>
      </c>
      <c r="M68">
        <v>27.68</v>
      </c>
      <c r="N68">
        <v>29.35</v>
      </c>
      <c r="O68">
        <v>28.34</v>
      </c>
      <c r="P68">
        <v>28.89</v>
      </c>
      <c r="Q68">
        <v>31.38</v>
      </c>
      <c r="S68">
        <f t="shared" ref="S68:S76" si="29">S67+1</f>
        <v>67</v>
      </c>
      <c r="T68">
        <v>8</v>
      </c>
    </row>
    <row r="69" spans="1:32" x14ac:dyDescent="0.2">
      <c r="A69" s="46" t="s">
        <v>227</v>
      </c>
      <c r="B69">
        <v>3.3610000000000002</v>
      </c>
      <c r="C69">
        <v>3.4630000000000001</v>
      </c>
      <c r="D69">
        <v>3.6259999999999999</v>
      </c>
      <c r="E69">
        <v>3.105</v>
      </c>
      <c r="F69">
        <v>2.992</v>
      </c>
      <c r="G69">
        <v>2.9969999999999999</v>
      </c>
      <c r="H69">
        <v>2.722</v>
      </c>
      <c r="I69">
        <v>3.3149999999999999</v>
      </c>
      <c r="J69">
        <v>3.335</v>
      </c>
      <c r="K69">
        <v>3.2360000000000002</v>
      </c>
      <c r="L69">
        <v>3.395</v>
      </c>
      <c r="M69">
        <v>3.8980000000000001</v>
      </c>
      <c r="N69">
        <v>5.2670000000000003</v>
      </c>
      <c r="O69">
        <v>4.0869999999999997</v>
      </c>
      <c r="P69">
        <v>3.91</v>
      </c>
      <c r="Q69">
        <v>3.8780000000000001</v>
      </c>
      <c r="S69">
        <f t="shared" si="29"/>
        <v>68</v>
      </c>
      <c r="T69">
        <v>8</v>
      </c>
      <c r="AF69">
        <f>SUM(AF50:AF67)</f>
        <v>2240.7982447999998</v>
      </c>
    </row>
    <row r="70" spans="1:32" x14ac:dyDescent="0.2">
      <c r="A70" s="46" t="s">
        <v>228</v>
      </c>
      <c r="B70">
        <v>9.5779999999999994</v>
      </c>
      <c r="C70">
        <v>9.7720000000000002</v>
      </c>
      <c r="D70">
        <v>10.4</v>
      </c>
      <c r="E70">
        <v>13.6</v>
      </c>
      <c r="F70">
        <v>9.6129999999999995</v>
      </c>
      <c r="G70">
        <v>11</v>
      </c>
      <c r="H70">
        <v>10.52</v>
      </c>
      <c r="I70">
        <v>10.3</v>
      </c>
      <c r="J70">
        <v>12.23</v>
      </c>
      <c r="K70">
        <v>12.06</v>
      </c>
      <c r="L70">
        <v>11.78</v>
      </c>
      <c r="M70">
        <v>12.47</v>
      </c>
      <c r="N70">
        <v>13.27</v>
      </c>
      <c r="O70">
        <v>12.86</v>
      </c>
      <c r="P70">
        <v>12.9</v>
      </c>
      <c r="Q70">
        <v>12.78</v>
      </c>
      <c r="S70">
        <f t="shared" si="29"/>
        <v>69</v>
      </c>
      <c r="T70">
        <v>8</v>
      </c>
      <c r="AF70">
        <f>SUM(AF61:AF67)</f>
        <v>480.74499959999991</v>
      </c>
    </row>
    <row r="71" spans="1:32" x14ac:dyDescent="0.2">
      <c r="A71" s="46" t="s">
        <v>229</v>
      </c>
      <c r="B71">
        <v>89.66</v>
      </c>
      <c r="C71">
        <v>97.18</v>
      </c>
      <c r="D71">
        <v>97.34</v>
      </c>
      <c r="E71">
        <v>102</v>
      </c>
      <c r="F71">
        <v>104.1</v>
      </c>
      <c r="G71">
        <v>105.6</v>
      </c>
      <c r="H71">
        <v>110.2</v>
      </c>
      <c r="I71">
        <v>107.9</v>
      </c>
      <c r="J71">
        <v>112.9</v>
      </c>
      <c r="K71">
        <v>113.3</v>
      </c>
      <c r="L71">
        <v>119.7</v>
      </c>
      <c r="M71">
        <v>106.3</v>
      </c>
      <c r="N71">
        <v>109.3</v>
      </c>
      <c r="O71">
        <v>108.3</v>
      </c>
      <c r="P71">
        <v>112.1</v>
      </c>
      <c r="Q71">
        <v>111.7</v>
      </c>
      <c r="S71">
        <f t="shared" si="29"/>
        <v>70</v>
      </c>
      <c r="T71">
        <v>7</v>
      </c>
    </row>
    <row r="72" spans="1:32" x14ac:dyDescent="0.2">
      <c r="A72" s="46" t="s">
        <v>230</v>
      </c>
      <c r="B72">
        <v>0.86</v>
      </c>
      <c r="C72">
        <v>1.0169999999999999</v>
      </c>
      <c r="D72">
        <v>0.99099999999999999</v>
      </c>
      <c r="E72">
        <v>1.1479999999999999</v>
      </c>
      <c r="F72">
        <v>1.125</v>
      </c>
      <c r="G72">
        <v>1.175</v>
      </c>
      <c r="H72">
        <v>1.1850000000000001</v>
      </c>
      <c r="I72">
        <v>1.349</v>
      </c>
      <c r="J72">
        <v>1.4339999999999999</v>
      </c>
      <c r="K72">
        <v>1.3280000000000001</v>
      </c>
      <c r="L72">
        <v>1.427</v>
      </c>
      <c r="M72">
        <v>1.6890000000000001</v>
      </c>
      <c r="N72">
        <v>1.8140000000000001</v>
      </c>
      <c r="O72">
        <v>1.855</v>
      </c>
      <c r="P72">
        <v>1.94</v>
      </c>
      <c r="Q72">
        <v>2.044</v>
      </c>
      <c r="S72">
        <f t="shared" si="29"/>
        <v>71</v>
      </c>
      <c r="T72">
        <v>7</v>
      </c>
      <c r="V72" s="2" t="s">
        <v>12</v>
      </c>
      <c r="AF72">
        <f>45293.9+1486.3</f>
        <v>46780.200000000004</v>
      </c>
    </row>
    <row r="73" spans="1:32" x14ac:dyDescent="0.2">
      <c r="A73" s="46" t="s">
        <v>231</v>
      </c>
      <c r="B73">
        <v>4.04</v>
      </c>
      <c r="C73">
        <v>4.6849999999999996</v>
      </c>
      <c r="D73">
        <v>4.9240000000000004</v>
      </c>
      <c r="E73">
        <v>4.5990000000000002</v>
      </c>
      <c r="F73">
        <v>4.6859999999999999</v>
      </c>
      <c r="G73">
        <v>4.2240000000000002</v>
      </c>
      <c r="H73">
        <v>5.2089999999999996</v>
      </c>
      <c r="I73">
        <v>4.8680000000000003</v>
      </c>
      <c r="J73">
        <v>4.3949999999999996</v>
      </c>
      <c r="K73">
        <v>4.6059999999999999</v>
      </c>
      <c r="L73">
        <v>4.6139999999999999</v>
      </c>
      <c r="M73">
        <v>5.5469999999999997</v>
      </c>
      <c r="N73">
        <v>5.7530000000000001</v>
      </c>
      <c r="O73">
        <v>5.6539999999999999</v>
      </c>
      <c r="P73">
        <v>5.6050000000000004</v>
      </c>
      <c r="Q73">
        <v>5.2409999999999997</v>
      </c>
      <c r="S73">
        <f t="shared" si="29"/>
        <v>72</v>
      </c>
      <c r="T73">
        <v>7</v>
      </c>
      <c r="V73" s="2" t="s">
        <v>13</v>
      </c>
      <c r="AF73">
        <f>25525.1</f>
        <v>25525.1</v>
      </c>
    </row>
    <row r="74" spans="1:32" x14ac:dyDescent="0.2">
      <c r="A74" s="46" t="s">
        <v>232</v>
      </c>
      <c r="B74">
        <v>67.39</v>
      </c>
      <c r="C74">
        <v>76.97</v>
      </c>
      <c r="D74">
        <v>78.38</v>
      </c>
      <c r="E74">
        <v>77.92</v>
      </c>
      <c r="F74">
        <v>73.91</v>
      </c>
      <c r="G74">
        <v>78.180000000000007</v>
      </c>
      <c r="H74">
        <v>105.1</v>
      </c>
      <c r="I74">
        <v>109.3</v>
      </c>
      <c r="J74">
        <v>100.8</v>
      </c>
      <c r="K74">
        <v>102.7</v>
      </c>
      <c r="L74">
        <v>106.5</v>
      </c>
      <c r="M74">
        <v>112.9</v>
      </c>
      <c r="N74">
        <v>118.7</v>
      </c>
      <c r="O74">
        <v>121.4</v>
      </c>
      <c r="P74">
        <v>125.1</v>
      </c>
      <c r="Q74">
        <v>123.3</v>
      </c>
      <c r="S74">
        <f t="shared" si="29"/>
        <v>73</v>
      </c>
      <c r="T74">
        <v>9</v>
      </c>
      <c r="V74" s="2" t="s">
        <v>14</v>
      </c>
      <c r="AF74">
        <f>6131.5+1040.2</f>
        <v>7171.7</v>
      </c>
    </row>
    <row r="75" spans="1:32" x14ac:dyDescent="0.2">
      <c r="A75" s="46" t="s">
        <v>233</v>
      </c>
      <c r="B75">
        <v>1.2689999999999999</v>
      </c>
      <c r="C75">
        <v>1.266</v>
      </c>
      <c r="D75">
        <v>1.3049999999999999</v>
      </c>
      <c r="E75">
        <v>1.141</v>
      </c>
      <c r="F75">
        <v>1.385</v>
      </c>
      <c r="G75">
        <v>1.173</v>
      </c>
      <c r="H75">
        <v>1.105</v>
      </c>
      <c r="I75">
        <v>1.077</v>
      </c>
      <c r="J75">
        <v>1.0629999999999999</v>
      </c>
      <c r="K75">
        <v>0.997</v>
      </c>
      <c r="L75">
        <v>0.90210000000000001</v>
      </c>
      <c r="M75">
        <v>1.1459999999999999</v>
      </c>
      <c r="N75">
        <v>1.22</v>
      </c>
      <c r="O75">
        <v>0.8841</v>
      </c>
      <c r="P75">
        <v>0.82640000000000002</v>
      </c>
      <c r="Q75">
        <v>0.76770000000000005</v>
      </c>
      <c r="S75">
        <f t="shared" si="29"/>
        <v>74</v>
      </c>
      <c r="T75">
        <v>3</v>
      </c>
      <c r="V75">
        <v>321</v>
      </c>
      <c r="AF75">
        <f>16765.5</f>
        <v>16765.5</v>
      </c>
    </row>
    <row r="76" spans="1:32" x14ac:dyDescent="0.2">
      <c r="B76">
        <v>3.883</v>
      </c>
      <c r="C76">
        <v>3.569</v>
      </c>
      <c r="D76">
        <v>3.444</v>
      </c>
      <c r="E76">
        <v>3.1970000000000001</v>
      </c>
      <c r="F76">
        <v>3.2589999999999999</v>
      </c>
      <c r="G76">
        <v>3.3330000000000002</v>
      </c>
      <c r="H76">
        <v>2.9750000000000001</v>
      </c>
      <c r="I76">
        <v>3.0150000000000001</v>
      </c>
      <c r="J76">
        <v>2.9790000000000001</v>
      </c>
      <c r="K76">
        <v>2.5529999999999999</v>
      </c>
      <c r="L76">
        <v>2.407</v>
      </c>
      <c r="M76">
        <v>2.3519999999999999</v>
      </c>
      <c r="N76">
        <v>2.3570000000000002</v>
      </c>
      <c r="O76">
        <v>2.4609999999999999</v>
      </c>
      <c r="P76">
        <v>2.3559999999999999</v>
      </c>
      <c r="Q76">
        <v>2.2130000000000001</v>
      </c>
      <c r="S76">
        <f t="shared" si="29"/>
        <v>75</v>
      </c>
      <c r="T76">
        <v>3</v>
      </c>
      <c r="V76">
        <v>322</v>
      </c>
      <c r="AF76">
        <v>52449.2</v>
      </c>
    </row>
    <row r="77" spans="1:32" x14ac:dyDescent="0.2">
      <c r="A77" t="s">
        <v>0</v>
      </c>
      <c r="V77">
        <v>323</v>
      </c>
      <c r="AF77">
        <v>12382.5</v>
      </c>
    </row>
    <row r="78" spans="1:32" x14ac:dyDescent="0.2">
      <c r="B78">
        <f>SUM(B9:B77)</f>
        <v>2166.3939999999998</v>
      </c>
      <c r="C78">
        <f t="shared" ref="C78:Q78" si="30">SUM(C9:C77)</f>
        <v>2263.4039999999995</v>
      </c>
      <c r="D78">
        <f t="shared" si="30"/>
        <v>2305.5030000000002</v>
      </c>
      <c r="E78">
        <f t="shared" si="30"/>
        <v>2328.2770000000005</v>
      </c>
      <c r="F78">
        <f t="shared" si="30"/>
        <v>2245.4139999999998</v>
      </c>
      <c r="G78">
        <f t="shared" si="30"/>
        <v>2271.8230000000003</v>
      </c>
      <c r="H78">
        <f t="shared" si="30"/>
        <v>2099.2629999999999</v>
      </c>
      <c r="I78">
        <f t="shared" si="30"/>
        <v>2125.1369999999997</v>
      </c>
      <c r="J78">
        <f t="shared" si="30"/>
        <v>2313.6360000000009</v>
      </c>
      <c r="K78">
        <f t="shared" si="30"/>
        <v>2247.7960000000003</v>
      </c>
      <c r="L78">
        <f t="shared" si="30"/>
        <v>2245.1827000000008</v>
      </c>
      <c r="M78">
        <f t="shared" si="30"/>
        <v>2384.7249999999999</v>
      </c>
      <c r="N78">
        <f t="shared" si="30"/>
        <v>2512.4709999999991</v>
      </c>
      <c r="O78">
        <f t="shared" si="30"/>
        <v>2538.9837000000007</v>
      </c>
      <c r="P78">
        <f t="shared" si="30"/>
        <v>2603.4058999999997</v>
      </c>
      <c r="Q78">
        <f t="shared" si="30"/>
        <v>2589.5990999999999</v>
      </c>
      <c r="V78">
        <v>324</v>
      </c>
      <c r="AF78">
        <v>35134</v>
      </c>
    </row>
    <row r="79" spans="1:32" x14ac:dyDescent="0.2">
      <c r="B79">
        <f>B78/3.412*1000</f>
        <v>634933.76318874548</v>
      </c>
      <c r="C79">
        <f t="shared" ref="C79:Q79" si="31">C78/3.412*1000</f>
        <v>663365.76787807723</v>
      </c>
      <c r="D79">
        <f t="shared" si="31"/>
        <v>675704.27901524049</v>
      </c>
      <c r="E79">
        <f t="shared" si="31"/>
        <v>682378.95662368124</v>
      </c>
      <c r="F79">
        <f t="shared" si="31"/>
        <v>658093.20046893309</v>
      </c>
      <c r="G79">
        <f t="shared" si="31"/>
        <v>665833.23563892161</v>
      </c>
      <c r="H79">
        <f t="shared" si="31"/>
        <v>615258.79249706923</v>
      </c>
      <c r="I79">
        <f t="shared" si="31"/>
        <v>622842.02813599049</v>
      </c>
      <c r="J79">
        <f t="shared" si="31"/>
        <v>678087.92497069191</v>
      </c>
      <c r="K79">
        <f t="shared" si="31"/>
        <v>658791.32473622519</v>
      </c>
      <c r="L79">
        <f t="shared" si="31"/>
        <v>658025.41031653015</v>
      </c>
      <c r="M79">
        <f t="shared" si="31"/>
        <v>698922.9191090269</v>
      </c>
      <c r="N79">
        <f t="shared" si="31"/>
        <v>736363.1301289564</v>
      </c>
      <c r="O79">
        <f t="shared" si="31"/>
        <v>744133.55803048087</v>
      </c>
      <c r="P79">
        <f t="shared" si="31"/>
        <v>763014.62485345837</v>
      </c>
      <c r="Q79">
        <f t="shared" si="31"/>
        <v>758968.08323563891</v>
      </c>
      <c r="V79">
        <v>325</v>
      </c>
      <c r="AF79">
        <v>125862.5</v>
      </c>
    </row>
    <row r="80" spans="1:32" x14ac:dyDescent="0.2">
      <c r="V80">
        <v>326</v>
      </c>
      <c r="AF80">
        <v>30102.5</v>
      </c>
    </row>
    <row r="81" spans="22:34" x14ac:dyDescent="0.2">
      <c r="V81">
        <v>327</v>
      </c>
      <c r="AD81">
        <v>24833.599999999999</v>
      </c>
      <c r="AE81">
        <v>30043.1</v>
      </c>
      <c r="AF81">
        <v>30516.799999999999</v>
      </c>
      <c r="AH81">
        <v>33311.5</v>
      </c>
    </row>
    <row r="82" spans="22:34" x14ac:dyDescent="0.2">
      <c r="V82">
        <v>331</v>
      </c>
      <c r="AF82">
        <v>133152.1</v>
      </c>
    </row>
    <row r="83" spans="22:34" x14ac:dyDescent="0.2">
      <c r="V83">
        <v>332</v>
      </c>
      <c r="AF83">
        <v>27974.1</v>
      </c>
    </row>
    <row r="84" spans="22:34" x14ac:dyDescent="0.2">
      <c r="V84">
        <v>333</v>
      </c>
      <c r="AF84">
        <v>30273.8</v>
      </c>
    </row>
    <row r="85" spans="22:34" x14ac:dyDescent="0.2">
      <c r="V85">
        <v>334</v>
      </c>
      <c r="AF85">
        <v>7329.9</v>
      </c>
    </row>
    <row r="86" spans="22:34" x14ac:dyDescent="0.2">
      <c r="V86">
        <v>335</v>
      </c>
      <c r="AF86">
        <v>32823</v>
      </c>
    </row>
    <row r="87" spans="22:34" x14ac:dyDescent="0.2">
      <c r="V87">
        <v>336</v>
      </c>
      <c r="AF87">
        <v>34536.5</v>
      </c>
    </row>
    <row r="88" spans="22:34" x14ac:dyDescent="0.2">
      <c r="V88">
        <v>337</v>
      </c>
      <c r="AF88">
        <v>4475.2</v>
      </c>
    </row>
    <row r="89" spans="22:34" x14ac:dyDescent="0.2">
      <c r="V89">
        <v>339</v>
      </c>
      <c r="AF89">
        <v>3485.8</v>
      </c>
    </row>
    <row r="91" spans="22:34" x14ac:dyDescent="0.2">
      <c r="AF91">
        <f>SUM(AF72:AF89)</f>
        <v>656740.4</v>
      </c>
    </row>
    <row r="92" spans="22:34" x14ac:dyDescent="0.2">
      <c r="AF92">
        <f>SUM(AF83:AF89)</f>
        <v>140898.29999999999</v>
      </c>
    </row>
    <row r="93" spans="22:34" x14ac:dyDescent="0.2">
      <c r="W93" t="s">
        <v>29</v>
      </c>
    </row>
    <row r="94" spans="22:34" x14ac:dyDescent="0.2">
      <c r="W94" t="s">
        <v>9</v>
      </c>
    </row>
    <row r="95" spans="22:34" x14ac:dyDescent="0.2">
      <c r="W95">
        <v>2711</v>
      </c>
      <c r="X95">
        <v>2591.6999999999998</v>
      </c>
      <c r="AA95">
        <v>2485.1</v>
      </c>
      <c r="AB95">
        <v>2556.6</v>
      </c>
      <c r="AC95">
        <v>2598.6</v>
      </c>
      <c r="AD95">
        <v>2435.6999999999998</v>
      </c>
      <c r="AE95">
        <v>2837.7</v>
      </c>
      <c r="AF95">
        <v>2895.5</v>
      </c>
      <c r="AG95">
        <v>3076.9</v>
      </c>
      <c r="AH95">
        <v>3357.1</v>
      </c>
    </row>
    <row r="96" spans="22:34" x14ac:dyDescent="0.2">
      <c r="W96">
        <v>2721</v>
      </c>
      <c r="X96">
        <v>298.8</v>
      </c>
      <c r="AA96">
        <v>283.2</v>
      </c>
      <c r="AB96">
        <v>346</v>
      </c>
      <c r="AC96">
        <v>467.4</v>
      </c>
      <c r="AD96">
        <v>565.6</v>
      </c>
      <c r="AE96">
        <v>394</v>
      </c>
      <c r="AF96">
        <v>441.7</v>
      </c>
      <c r="AG96">
        <v>425</v>
      </c>
      <c r="AH96">
        <v>471.2</v>
      </c>
    </row>
    <row r="97" spans="23:34" x14ac:dyDescent="0.2">
      <c r="W97">
        <v>2731</v>
      </c>
      <c r="X97">
        <v>267.60000000000002</v>
      </c>
      <c r="AA97">
        <v>257.3</v>
      </c>
      <c r="AB97">
        <v>246.4</v>
      </c>
      <c r="AC97">
        <v>236.9</v>
      </c>
      <c r="AD97">
        <v>238.2</v>
      </c>
      <c r="AE97">
        <v>314.7</v>
      </c>
      <c r="AF97">
        <v>299.10000000000002</v>
      </c>
      <c r="AG97">
        <v>310.89999999999998</v>
      </c>
      <c r="AH97">
        <v>321.39999999999998</v>
      </c>
    </row>
    <row r="98" spans="23:34" x14ac:dyDescent="0.2">
      <c r="W98" t="s">
        <v>4</v>
      </c>
      <c r="X98">
        <f>SUM(X95:X97)</f>
        <v>3158.1</v>
      </c>
      <c r="AA98">
        <f>SUM(AA95:AA97)</f>
        <v>3025.6</v>
      </c>
      <c r="AB98">
        <f t="shared" ref="AB98:AH98" si="32">SUM(AB95:AB97)</f>
        <v>3149</v>
      </c>
      <c r="AC98">
        <f t="shared" si="32"/>
        <v>3302.9</v>
      </c>
      <c r="AD98">
        <f t="shared" si="32"/>
        <v>3239.4999999999995</v>
      </c>
      <c r="AE98">
        <f t="shared" si="32"/>
        <v>3546.3999999999996</v>
      </c>
      <c r="AF98">
        <f t="shared" si="32"/>
        <v>3636.2999999999997</v>
      </c>
      <c r="AG98">
        <f t="shared" si="32"/>
        <v>3812.8</v>
      </c>
      <c r="AH98">
        <f t="shared" si="32"/>
        <v>4149.7</v>
      </c>
    </row>
    <row r="99" spans="23:34" x14ac:dyDescent="0.2">
      <c r="W99" t="s">
        <v>5</v>
      </c>
      <c r="X99">
        <f>3.412*X98*0.001</f>
        <v>10.775437200000001</v>
      </c>
      <c r="Y99">
        <f t="shared" ref="Y99:AH99" si="33">3.412*Y98*0.001</f>
        <v>0</v>
      </c>
      <c r="Z99">
        <f t="shared" si="33"/>
        <v>0</v>
      </c>
      <c r="AA99">
        <f t="shared" si="33"/>
        <v>10.323347200000001</v>
      </c>
      <c r="AB99">
        <f t="shared" si="33"/>
        <v>10.744387999999999</v>
      </c>
      <c r="AC99">
        <f t="shared" si="33"/>
        <v>11.2694948</v>
      </c>
      <c r="AD99">
        <f t="shared" si="33"/>
        <v>11.053173999999999</v>
      </c>
      <c r="AE99">
        <f t="shared" si="33"/>
        <v>12.100316799999998</v>
      </c>
      <c r="AF99">
        <f t="shared" si="33"/>
        <v>12.4070556</v>
      </c>
      <c r="AG99">
        <f t="shared" si="33"/>
        <v>13.0092736</v>
      </c>
      <c r="AH99">
        <f t="shared" si="33"/>
        <v>14.158776399999999</v>
      </c>
    </row>
    <row r="100" spans="23:34" x14ac:dyDescent="0.2">
      <c r="W100" t="s">
        <v>6</v>
      </c>
      <c r="X100">
        <f>X99/X7</f>
        <v>0.29923457928353236</v>
      </c>
      <c r="Y100">
        <f>0.33*X100+0.67*AA100</f>
        <v>0.30872441857097316</v>
      </c>
      <c r="Z100">
        <f>0.33*X100+0.67*AA100</f>
        <v>0.30872441857097316</v>
      </c>
      <c r="AA100">
        <f t="shared" ref="AA100:AH100" si="34">AA99/AA7</f>
        <v>0.31339851851851858</v>
      </c>
      <c r="AB100">
        <f t="shared" si="34"/>
        <v>0.3056724893314367</v>
      </c>
      <c r="AC100">
        <f t="shared" si="34"/>
        <v>0.31045440220385678</v>
      </c>
      <c r="AD100">
        <f t="shared" si="34"/>
        <v>0.30315891387822264</v>
      </c>
      <c r="AE100">
        <f t="shared" si="34"/>
        <v>0.28205866666666662</v>
      </c>
      <c r="AF100">
        <f t="shared" si="34"/>
        <v>0.29365812071005915</v>
      </c>
      <c r="AG100">
        <f t="shared" si="34"/>
        <v>0.28877410876803555</v>
      </c>
      <c r="AH100">
        <f t="shared" si="34"/>
        <v>0.27648460066393282</v>
      </c>
    </row>
    <row r="101" spans="23:34" x14ac:dyDescent="0.2">
      <c r="X101">
        <f>X99</f>
        <v>10.775437200000001</v>
      </c>
      <c r="Y101">
        <f>Y100*Y7</f>
        <v>10.897971975555352</v>
      </c>
      <c r="Z101">
        <f>Z100*Z7</f>
        <v>9.9934094291423996</v>
      </c>
      <c r="AA101">
        <f>AA99</f>
        <v>10.323347200000001</v>
      </c>
      <c r="AB101">
        <f t="shared" ref="AB101:AG101" si="35">AB99</f>
        <v>10.744387999999999</v>
      </c>
      <c r="AC101">
        <f t="shared" si="35"/>
        <v>11.2694948</v>
      </c>
      <c r="AD101">
        <f t="shared" si="35"/>
        <v>11.053173999999999</v>
      </c>
      <c r="AE101">
        <f t="shared" si="35"/>
        <v>12.100316799999998</v>
      </c>
      <c r="AF101">
        <f t="shared" si="35"/>
        <v>12.4070556</v>
      </c>
      <c r="AG101">
        <f t="shared" si="35"/>
        <v>13.0092736</v>
      </c>
      <c r="AH101">
        <f>AH99</f>
        <v>14.158776399999999</v>
      </c>
    </row>
    <row r="102" spans="23:34" x14ac:dyDescent="0.2">
      <c r="W102" t="s">
        <v>7</v>
      </c>
      <c r="X102">
        <f t="shared" ref="X102:AH102" si="36">X7-X101</f>
        <v>25.234562799999999</v>
      </c>
      <c r="Y102">
        <f t="shared" si="36"/>
        <v>24.402028024444647</v>
      </c>
      <c r="Z102">
        <f t="shared" si="36"/>
        <v>22.376590570857598</v>
      </c>
      <c r="AA102">
        <f t="shared" si="36"/>
        <v>22.616652799999997</v>
      </c>
      <c r="AB102">
        <f t="shared" si="36"/>
        <v>24.405611999999998</v>
      </c>
      <c r="AC102">
        <f t="shared" si="36"/>
        <v>25.030505199999997</v>
      </c>
      <c r="AD102">
        <f t="shared" si="36"/>
        <v>25.406826000000002</v>
      </c>
      <c r="AE102">
        <f t="shared" si="36"/>
        <v>30.7996832</v>
      </c>
      <c r="AF102">
        <f t="shared" si="36"/>
        <v>29.8429444</v>
      </c>
      <c r="AG102">
        <f t="shared" si="36"/>
        <v>32.040726399999997</v>
      </c>
      <c r="AH102">
        <f t="shared" si="36"/>
        <v>37.0512236</v>
      </c>
    </row>
    <row r="104" spans="23:34" x14ac:dyDescent="0.2">
      <c r="X104">
        <f t="shared" ref="X104:AG104" si="37">X1</f>
        <v>1977</v>
      </c>
      <c r="Y104">
        <f t="shared" si="37"/>
        <v>1978</v>
      </c>
      <c r="Z104">
        <f t="shared" si="37"/>
        <v>1979</v>
      </c>
      <c r="AA104">
        <f t="shared" si="37"/>
        <v>1980</v>
      </c>
      <c r="AB104">
        <f t="shared" si="37"/>
        <v>1981</v>
      </c>
      <c r="AC104">
        <f t="shared" si="37"/>
        <v>1982</v>
      </c>
      <c r="AD104">
        <f t="shared" si="37"/>
        <v>1983</v>
      </c>
      <c r="AE104">
        <f t="shared" si="37"/>
        <v>1984</v>
      </c>
      <c r="AF104">
        <f t="shared" si="37"/>
        <v>1985</v>
      </c>
      <c r="AG104">
        <f t="shared" si="37"/>
        <v>1986</v>
      </c>
      <c r="AH104">
        <v>1987</v>
      </c>
    </row>
    <row r="105" spans="23:34" x14ac:dyDescent="0.2">
      <c r="W105" s="2" t="s">
        <v>8</v>
      </c>
    </row>
    <row r="106" spans="23:34" x14ac:dyDescent="0.2">
      <c r="W106">
        <v>384</v>
      </c>
      <c r="X106">
        <v>1166.2</v>
      </c>
      <c r="Y106" s="3">
        <f>0.67*X106+0.33*AA106</f>
        <v>1216.8879999999999</v>
      </c>
      <c r="Z106" s="3">
        <f>0.33*X106+0.67*AA106</f>
        <v>1269.1120000000001</v>
      </c>
      <c r="AA106">
        <v>1319.8</v>
      </c>
      <c r="AB106">
        <v>1372.7</v>
      </c>
      <c r="AC106">
        <v>1476.9</v>
      </c>
      <c r="AD106">
        <v>1592.8</v>
      </c>
      <c r="AE106">
        <v>1720</v>
      </c>
      <c r="AF106">
        <v>1793.5</v>
      </c>
      <c r="AG106">
        <v>1906.6</v>
      </c>
      <c r="AH106">
        <f>1093.5+985.1+135.3</f>
        <v>2213.9</v>
      </c>
    </row>
    <row r="107" spans="23:34" x14ac:dyDescent="0.2">
      <c r="W107">
        <v>385</v>
      </c>
      <c r="X107">
        <v>268.89999999999998</v>
      </c>
      <c r="Y107" s="3">
        <f>0.67*X107+0.33*AA107</f>
        <v>266.887</v>
      </c>
      <c r="Z107" s="3">
        <f>0.33*X107+0.67*AA107</f>
        <v>264.81299999999999</v>
      </c>
      <c r="AA107">
        <v>262.8</v>
      </c>
      <c r="AB107">
        <v>255.5</v>
      </c>
      <c r="AC107">
        <v>263.3</v>
      </c>
      <c r="AD107">
        <v>235.9</v>
      </c>
      <c r="AE107">
        <v>297.5</v>
      </c>
      <c r="AF107">
        <v>272.2</v>
      </c>
      <c r="AG107">
        <v>281</v>
      </c>
      <c r="AH107">
        <v>287.39999999999998</v>
      </c>
    </row>
    <row r="108" spans="23:34" x14ac:dyDescent="0.2">
      <c r="X108">
        <f>SUM(X106:X107)</f>
        <v>1435.1</v>
      </c>
      <c r="Y108">
        <f t="shared" ref="Y108:AH108" si="38">SUM(Y106:Y107)</f>
        <v>1483.7749999999999</v>
      </c>
      <c r="Z108">
        <f t="shared" si="38"/>
        <v>1533.9250000000002</v>
      </c>
      <c r="AA108">
        <f t="shared" si="38"/>
        <v>1582.6</v>
      </c>
      <c r="AB108">
        <f t="shared" si="38"/>
        <v>1628.2</v>
      </c>
      <c r="AC108">
        <f t="shared" si="38"/>
        <v>1740.2</v>
      </c>
      <c r="AD108">
        <f t="shared" si="38"/>
        <v>1828.7</v>
      </c>
      <c r="AE108">
        <f t="shared" si="38"/>
        <v>2017.5</v>
      </c>
      <c r="AF108">
        <f t="shared" si="38"/>
        <v>2065.6999999999998</v>
      </c>
      <c r="AG108">
        <f t="shared" si="38"/>
        <v>2187.6</v>
      </c>
      <c r="AH108">
        <f t="shared" si="38"/>
        <v>2501.3000000000002</v>
      </c>
    </row>
    <row r="109" spans="23:34" x14ac:dyDescent="0.2">
      <c r="X109" s="5">
        <f>3.412*X108*0.001</f>
        <v>4.8965611999999989</v>
      </c>
      <c r="Y109" s="5">
        <f t="shared" ref="Y109:AH109" si="39">3.412*Y108*0.001</f>
        <v>5.0626402999999991</v>
      </c>
      <c r="Z109" s="5">
        <f t="shared" si="39"/>
        <v>5.2337521000000011</v>
      </c>
      <c r="AA109" s="5">
        <f t="shared" si="39"/>
        <v>5.3998311999999995</v>
      </c>
      <c r="AB109" s="5">
        <f t="shared" si="39"/>
        <v>5.5554184000000006</v>
      </c>
      <c r="AC109" s="5">
        <f t="shared" si="39"/>
        <v>5.9375624</v>
      </c>
      <c r="AD109" s="5">
        <f t="shared" si="39"/>
        <v>6.2395244000000005</v>
      </c>
      <c r="AE109" s="5">
        <f t="shared" si="39"/>
        <v>6.8837099999999998</v>
      </c>
      <c r="AF109" s="5">
        <f t="shared" si="39"/>
        <v>7.0481683999999998</v>
      </c>
      <c r="AG109" s="5">
        <f t="shared" si="39"/>
        <v>7.4640912000000004</v>
      </c>
      <c r="AH109" s="5">
        <f t="shared" si="39"/>
        <v>8.5344356000000001</v>
      </c>
    </row>
    <row r="110" spans="23:34" x14ac:dyDescent="0.2">
      <c r="W110" t="s">
        <v>10</v>
      </c>
      <c r="X110" s="5">
        <f>X38-X109</f>
        <v>56.484438799999992</v>
      </c>
      <c r="Y110" s="5">
        <f t="shared" ref="Y110:AH110" si="40">Y38-Y109</f>
        <v>60.14735970000001</v>
      </c>
      <c r="Z110" s="5">
        <f t="shared" si="40"/>
        <v>64.616247899999991</v>
      </c>
      <c r="AA110" s="5">
        <f t="shared" si="40"/>
        <v>69.040168800000004</v>
      </c>
      <c r="AB110" s="5">
        <f t="shared" si="40"/>
        <v>73.834581600000007</v>
      </c>
      <c r="AC110" s="5">
        <f t="shared" si="40"/>
        <v>78.802437600000005</v>
      </c>
      <c r="AD110" s="5">
        <f t="shared" si="40"/>
        <v>82.620475599999992</v>
      </c>
      <c r="AE110" s="5">
        <f t="shared" si="40"/>
        <v>89.656290000000013</v>
      </c>
      <c r="AF110" s="5">
        <f t="shared" si="40"/>
        <v>94.876119200000019</v>
      </c>
      <c r="AG110" s="5">
        <f t="shared" si="40"/>
        <v>99.118258799999992</v>
      </c>
      <c r="AH110" s="5">
        <f t="shared" si="40"/>
        <v>105.55943240000001</v>
      </c>
    </row>
    <row r="111" spans="23:34" x14ac:dyDescent="0.2">
      <c r="W111" t="s">
        <v>11</v>
      </c>
      <c r="X111" s="5">
        <f>X42+X109</f>
        <v>18.966561200000001</v>
      </c>
      <c r="Y111" s="5">
        <f t="shared" ref="Y111:AH111" si="41">Y42+Y109</f>
        <v>18.672640299999998</v>
      </c>
      <c r="Z111" s="5">
        <f t="shared" si="41"/>
        <v>17.833752100000002</v>
      </c>
      <c r="AA111" s="5">
        <f t="shared" si="41"/>
        <v>17.749831199999999</v>
      </c>
      <c r="AB111" s="5">
        <f t="shared" si="41"/>
        <v>17.945418400000001</v>
      </c>
      <c r="AC111" s="5">
        <f t="shared" si="41"/>
        <v>18.397562400000002</v>
      </c>
      <c r="AD111" s="5">
        <f t="shared" si="41"/>
        <v>18.619524400000003</v>
      </c>
      <c r="AE111" s="5">
        <f t="shared" si="41"/>
        <v>19.533709999999999</v>
      </c>
      <c r="AF111" s="5">
        <f t="shared" si="41"/>
        <v>18.941718000000002</v>
      </c>
      <c r="AG111" s="5">
        <f t="shared" si="41"/>
        <v>19.592045200000001</v>
      </c>
      <c r="AH111" s="5">
        <f t="shared" si="41"/>
        <v>24.3555384</v>
      </c>
    </row>
    <row r="113" spans="22:44" x14ac:dyDescent="0.2">
      <c r="W113" t="s">
        <v>15</v>
      </c>
    </row>
    <row r="114" spans="22:44" x14ac:dyDescent="0.2">
      <c r="W114">
        <v>3465</v>
      </c>
      <c r="X114">
        <v>2996.1</v>
      </c>
      <c r="Y114" s="3">
        <f>0.67*X114+0.33*AA114</f>
        <v>2833.6080000000002</v>
      </c>
      <c r="Z114" s="3">
        <f>0.33*X114+0.67*AA114</f>
        <v>2666.192</v>
      </c>
      <c r="AA114">
        <v>2503.6999999999998</v>
      </c>
      <c r="AB114">
        <v>2453.4</v>
      </c>
      <c r="AC114">
        <v>2427.5</v>
      </c>
      <c r="AD114">
        <v>2781.7</v>
      </c>
      <c r="AE114">
        <v>5457</v>
      </c>
      <c r="AF114">
        <v>2967</v>
      </c>
      <c r="AG114">
        <v>3010.6</v>
      </c>
      <c r="AH114">
        <v>3454.6</v>
      </c>
    </row>
    <row r="115" spans="22:44" x14ac:dyDescent="0.2">
      <c r="X115" s="5">
        <f t="shared" ref="X115:AH115" si="42">3.412*X114*0.001</f>
        <v>10.2226932</v>
      </c>
      <c r="Y115" s="5">
        <f t="shared" si="42"/>
        <v>9.6682704960000017</v>
      </c>
      <c r="Z115" s="5">
        <f t="shared" si="42"/>
        <v>9.0970471039999996</v>
      </c>
      <c r="AA115" s="5">
        <f t="shared" si="42"/>
        <v>8.5426243999999993</v>
      </c>
      <c r="AB115" s="5">
        <f t="shared" si="42"/>
        <v>8.3710007999999991</v>
      </c>
      <c r="AC115" s="5">
        <f t="shared" si="42"/>
        <v>8.2826299999999993</v>
      </c>
      <c r="AD115" s="5">
        <f t="shared" si="42"/>
        <v>9.4911603999999983</v>
      </c>
      <c r="AE115" s="5">
        <f t="shared" si="42"/>
        <v>18.619284</v>
      </c>
      <c r="AF115" s="5">
        <f t="shared" si="42"/>
        <v>10.123404000000001</v>
      </c>
      <c r="AG115" s="5">
        <f t="shared" si="42"/>
        <v>10.2721672</v>
      </c>
      <c r="AH115" s="5">
        <f t="shared" si="42"/>
        <v>11.7870952</v>
      </c>
    </row>
    <row r="116" spans="22:44" x14ac:dyDescent="0.2">
      <c r="W116" t="s">
        <v>19</v>
      </c>
      <c r="X116" s="5">
        <f>X36-X115</f>
        <v>79.608306800000008</v>
      </c>
      <c r="Y116" s="5">
        <f t="shared" ref="Y116:AH116" si="43">Y36-Y115</f>
        <v>80.305729503999999</v>
      </c>
      <c r="Z116" s="5">
        <f t="shared" si="43"/>
        <v>80.627952896000011</v>
      </c>
      <c r="AA116" s="5">
        <f t="shared" si="43"/>
        <v>77.849375600000016</v>
      </c>
      <c r="AB116" s="5">
        <f t="shared" si="43"/>
        <v>78.768999199999982</v>
      </c>
      <c r="AC116" s="5">
        <f t="shared" si="43"/>
        <v>78.837370000000007</v>
      </c>
      <c r="AD116" s="5">
        <f t="shared" si="43"/>
        <v>75.248839600000011</v>
      </c>
      <c r="AE116" s="5">
        <f t="shared" si="43"/>
        <v>85.017716000000007</v>
      </c>
      <c r="AF116" s="5">
        <f t="shared" si="43"/>
        <v>85.324225200000001</v>
      </c>
      <c r="AG116" s="5">
        <f t="shared" si="43"/>
        <v>83.012936400000001</v>
      </c>
      <c r="AH116" s="5">
        <f t="shared" si="43"/>
        <v>95.515869199999983</v>
      </c>
    </row>
    <row r="117" spans="22:44" x14ac:dyDescent="0.2">
      <c r="V117" s="2" t="s">
        <v>12</v>
      </c>
      <c r="X117" s="5"/>
      <c r="Y117" s="5"/>
      <c r="Z117" s="5"/>
      <c r="AA117" s="5"/>
      <c r="AB117" s="5"/>
      <c r="AC117" s="5"/>
      <c r="AD117" s="5"/>
      <c r="AE117" s="5"/>
      <c r="AF117" s="5"/>
      <c r="AG117" s="5"/>
      <c r="AH117" s="5"/>
      <c r="AJ117" s="5">
        <f>38291*3.412*0.001</f>
        <v>130.64889199999999</v>
      </c>
      <c r="AK117" t="s">
        <v>18</v>
      </c>
    </row>
    <row r="118" spans="22:44" x14ac:dyDescent="0.2">
      <c r="V118" s="2" t="s">
        <v>13</v>
      </c>
      <c r="AQ118">
        <f>52449.2*3.412*0.001</f>
        <v>178.95667039999998</v>
      </c>
      <c r="AR118" t="e">
        <f>#REF!/AQ118*#REF!</f>
        <v>#REF!</v>
      </c>
    </row>
    <row r="119" spans="22:44" x14ac:dyDescent="0.2">
      <c r="V119" s="2" t="s">
        <v>14</v>
      </c>
      <c r="W119">
        <v>3592</v>
      </c>
      <c r="X119">
        <v>810.3</v>
      </c>
      <c r="Y119" s="3">
        <f>0.67*X119+0.33*AA119</f>
        <v>812.24699999999996</v>
      </c>
      <c r="Z119" s="3">
        <f>0.33*X119+0.67*AA119</f>
        <v>814.25300000000004</v>
      </c>
      <c r="AA119">
        <v>816.2</v>
      </c>
      <c r="AB119">
        <v>837.2</v>
      </c>
      <c r="AC119">
        <v>784.1</v>
      </c>
      <c r="AD119">
        <v>837.7</v>
      </c>
      <c r="AE119">
        <v>898.6</v>
      </c>
      <c r="AF119">
        <v>875.2</v>
      </c>
      <c r="AG119">
        <v>814.8</v>
      </c>
      <c r="AH119">
        <v>638.79999999999995</v>
      </c>
    </row>
    <row r="120" spans="22:44" x14ac:dyDescent="0.2">
      <c r="V120">
        <v>321</v>
      </c>
      <c r="X120" s="5">
        <f>3.412*X119*0.001</f>
        <v>2.7647435999999996</v>
      </c>
      <c r="Y120" s="5">
        <f t="shared" ref="Y120:AH120" si="44">3.412*Y119*0.001</f>
        <v>2.7713867639999998</v>
      </c>
      <c r="Z120" s="5">
        <f t="shared" si="44"/>
        <v>2.7782312360000003</v>
      </c>
      <c r="AA120" s="5">
        <f t="shared" si="44"/>
        <v>2.7848744000000001</v>
      </c>
      <c r="AB120" s="5">
        <f t="shared" si="44"/>
        <v>2.8565264000000004</v>
      </c>
      <c r="AC120" s="5">
        <f t="shared" si="44"/>
        <v>2.6753492000000003</v>
      </c>
      <c r="AD120" s="5">
        <f t="shared" si="44"/>
        <v>2.8582323999999999</v>
      </c>
      <c r="AE120" s="5">
        <f t="shared" si="44"/>
        <v>3.0660232000000001</v>
      </c>
      <c r="AF120" s="5">
        <f t="shared" si="44"/>
        <v>2.9861824000000001</v>
      </c>
      <c r="AG120" s="5">
        <f t="shared" si="44"/>
        <v>2.7800975999999995</v>
      </c>
      <c r="AH120" s="5">
        <f t="shared" si="44"/>
        <v>2.1795855999999998</v>
      </c>
    </row>
    <row r="121" spans="22:44" x14ac:dyDescent="0.2">
      <c r="V121">
        <v>322</v>
      </c>
      <c r="W121" t="s">
        <v>17</v>
      </c>
      <c r="X121" s="5">
        <f t="shared" ref="X121:AH121" si="45">X37-X120</f>
        <v>91.055256400000005</v>
      </c>
      <c r="Y121" s="5">
        <f t="shared" si="45"/>
        <v>95.326613236</v>
      </c>
      <c r="Z121" s="5">
        <f t="shared" si="45"/>
        <v>95.505768763999995</v>
      </c>
      <c r="AA121" s="5">
        <f t="shared" si="45"/>
        <v>94.589125599999988</v>
      </c>
      <c r="AB121" s="5">
        <f t="shared" si="45"/>
        <v>96.784473599999998</v>
      </c>
      <c r="AC121" s="5">
        <f t="shared" si="45"/>
        <v>91.620650800000007</v>
      </c>
      <c r="AD121" s="5">
        <f t="shared" si="45"/>
        <v>84.703767600000006</v>
      </c>
      <c r="AE121" s="5">
        <f t="shared" si="45"/>
        <v>91.313976799999978</v>
      </c>
      <c r="AF121" s="5">
        <f t="shared" si="45"/>
        <v>88.423003600000015</v>
      </c>
      <c r="AG121" s="5">
        <f t="shared" si="45"/>
        <v>86.901933999999983</v>
      </c>
      <c r="AH121" s="5">
        <f t="shared" si="45"/>
        <v>98.510581600000023</v>
      </c>
    </row>
    <row r="122" spans="22:44" x14ac:dyDescent="0.2">
      <c r="V122">
        <v>323</v>
      </c>
      <c r="X122" s="5"/>
      <c r="Y122" s="5"/>
      <c r="Z122" s="5"/>
      <c r="AA122" s="5"/>
      <c r="AB122" s="5"/>
      <c r="AC122" s="5"/>
      <c r="AD122" s="5"/>
      <c r="AE122" s="5"/>
      <c r="AF122" s="5"/>
      <c r="AG122" s="5"/>
      <c r="AH122" s="5"/>
    </row>
    <row r="123" spans="22:44" x14ac:dyDescent="0.2">
      <c r="V123">
        <v>324</v>
      </c>
    </row>
    <row r="124" spans="22:44" x14ac:dyDescent="0.2">
      <c r="V124">
        <v>325</v>
      </c>
      <c r="W124">
        <v>3647</v>
      </c>
      <c r="X124">
        <v>369</v>
      </c>
      <c r="Y124" s="3">
        <f>0.67*X124+0.33*AA124</f>
        <v>344.67900000000003</v>
      </c>
      <c r="Z124" s="3">
        <f>0.33*X124+0.67*AA124</f>
        <v>319.62100000000004</v>
      </c>
      <c r="AA124">
        <v>295.3</v>
      </c>
      <c r="AB124">
        <v>301.5</v>
      </c>
      <c r="AC124">
        <v>298.8</v>
      </c>
      <c r="AD124">
        <v>329.3</v>
      </c>
      <c r="AE124">
        <v>365.4</v>
      </c>
      <c r="AF124">
        <v>366.4</v>
      </c>
      <c r="AG124">
        <v>410.1</v>
      </c>
      <c r="AH124">
        <v>423.9</v>
      </c>
    </row>
    <row r="125" spans="22:44" x14ac:dyDescent="0.2">
      <c r="V125">
        <v>326</v>
      </c>
      <c r="W125">
        <v>3694</v>
      </c>
      <c r="X125">
        <v>908</v>
      </c>
      <c r="Y125" s="3">
        <f>0.67*X125+0.33*AA125</f>
        <v>851.53700000000003</v>
      </c>
      <c r="Z125" s="3">
        <f>0.33*X125+0.67*AA125</f>
        <v>793.36300000000006</v>
      </c>
      <c r="AA125">
        <v>736.9</v>
      </c>
      <c r="AB125">
        <v>721.9</v>
      </c>
      <c r="AC125">
        <v>588.79999999999995</v>
      </c>
      <c r="AD125">
        <v>682.5</v>
      </c>
      <c r="AE125">
        <v>791</v>
      </c>
      <c r="AF125">
        <v>778.2</v>
      </c>
      <c r="AG125">
        <v>788.9</v>
      </c>
      <c r="AH125">
        <v>1169.2</v>
      </c>
    </row>
    <row r="126" spans="22:44" x14ac:dyDescent="0.2">
      <c r="V126">
        <v>327</v>
      </c>
      <c r="X126">
        <f>SUM(X124:X125)</f>
        <v>1277</v>
      </c>
      <c r="Y126">
        <f t="shared" ref="Y126:AH126" si="46">SUM(Y124:Y125)</f>
        <v>1196.2160000000001</v>
      </c>
      <c r="Z126">
        <f t="shared" si="46"/>
        <v>1112.9840000000002</v>
      </c>
      <c r="AA126">
        <f t="shared" si="46"/>
        <v>1032.2</v>
      </c>
      <c r="AB126">
        <f t="shared" si="46"/>
        <v>1023.4</v>
      </c>
      <c r="AC126">
        <f t="shared" si="46"/>
        <v>887.59999999999991</v>
      </c>
      <c r="AD126">
        <f t="shared" si="46"/>
        <v>1011.8</v>
      </c>
      <c r="AE126">
        <f t="shared" si="46"/>
        <v>1156.4000000000001</v>
      </c>
      <c r="AF126">
        <f t="shared" si="46"/>
        <v>1144.5999999999999</v>
      </c>
      <c r="AG126">
        <f t="shared" si="46"/>
        <v>1199</v>
      </c>
      <c r="AH126">
        <f t="shared" si="46"/>
        <v>1593.1</v>
      </c>
    </row>
    <row r="127" spans="22:44" x14ac:dyDescent="0.2">
      <c r="V127">
        <v>331</v>
      </c>
      <c r="X127" s="5">
        <f t="shared" ref="X127:AH127" si="47">3.412*X126*0.001</f>
        <v>4.3571239999999998</v>
      </c>
      <c r="Y127" s="5">
        <f t="shared" si="47"/>
        <v>4.0814889920000006</v>
      </c>
      <c r="Z127" s="5">
        <f t="shared" si="47"/>
        <v>3.7975014080000005</v>
      </c>
      <c r="AA127" s="5">
        <f t="shared" si="47"/>
        <v>3.5218664</v>
      </c>
      <c r="AB127" s="5">
        <f t="shared" si="47"/>
        <v>3.4918407999999999</v>
      </c>
      <c r="AC127" s="5">
        <f t="shared" si="47"/>
        <v>3.0284911999999995</v>
      </c>
      <c r="AD127" s="5">
        <f t="shared" si="47"/>
        <v>3.4522615999999999</v>
      </c>
      <c r="AE127" s="5">
        <f t="shared" si="47"/>
        <v>3.9456368000000004</v>
      </c>
      <c r="AF127" s="5">
        <f t="shared" si="47"/>
        <v>3.9053751999999995</v>
      </c>
      <c r="AG127" s="5">
        <f t="shared" si="47"/>
        <v>4.0909880000000003</v>
      </c>
      <c r="AH127" s="5">
        <f t="shared" si="47"/>
        <v>5.4356571999999996</v>
      </c>
    </row>
    <row r="128" spans="22:44" x14ac:dyDescent="0.2">
      <c r="V128">
        <v>332</v>
      </c>
      <c r="W128" t="s">
        <v>16</v>
      </c>
      <c r="X128" s="5">
        <f t="shared" ref="X128:AH128" si="48">X39-X127</f>
        <v>41.655875999999999</v>
      </c>
      <c r="Y128" s="5">
        <f t="shared" si="48"/>
        <v>43.540511007999996</v>
      </c>
      <c r="Z128" s="5">
        <f t="shared" si="48"/>
        <v>44.844498591999994</v>
      </c>
      <c r="AA128" s="5">
        <f t="shared" si="48"/>
        <v>42.171133600000005</v>
      </c>
      <c r="AB128" s="5">
        <f t="shared" si="48"/>
        <v>41.740159200000001</v>
      </c>
      <c r="AC128" s="5">
        <f t="shared" si="48"/>
        <v>42.4085088</v>
      </c>
      <c r="AD128" s="5">
        <f t="shared" si="48"/>
        <v>42.504738400000001</v>
      </c>
      <c r="AE128" s="5">
        <f t="shared" si="48"/>
        <v>45.071363199999993</v>
      </c>
      <c r="AF128" s="5">
        <f t="shared" si="48"/>
        <v>43.0567104</v>
      </c>
      <c r="AG128" s="5">
        <f t="shared" si="48"/>
        <v>43.779372000000002</v>
      </c>
      <c r="AH128" s="5">
        <f t="shared" si="48"/>
        <v>45.316819199999998</v>
      </c>
    </row>
    <row r="129" spans="22:43" x14ac:dyDescent="0.2">
      <c r="V129">
        <v>333</v>
      </c>
    </row>
    <row r="130" spans="22:43" x14ac:dyDescent="0.2">
      <c r="V130">
        <v>334</v>
      </c>
      <c r="W130" t="s">
        <v>20</v>
      </c>
      <c r="X130" s="5">
        <f>X40+X115+X120+X127</f>
        <v>123.38256079999999</v>
      </c>
      <c r="Y130" s="5">
        <f t="shared" ref="Y130:AH130" si="49">Y40+Y115+Y120+Y127</f>
        <v>124.91814625200001</v>
      </c>
      <c r="Z130" s="5">
        <f t="shared" si="49"/>
        <v>124.753779748</v>
      </c>
      <c r="AA130" s="5">
        <f t="shared" si="49"/>
        <v>117.10836519999999</v>
      </c>
      <c r="AB130" s="5">
        <f t="shared" si="49"/>
        <v>117.40136800000001</v>
      </c>
      <c r="AC130" s="5">
        <f t="shared" si="49"/>
        <v>112.3124704</v>
      </c>
      <c r="AD130" s="5">
        <f t="shared" si="49"/>
        <v>119.7376544</v>
      </c>
      <c r="AE130" s="5">
        <f t="shared" si="49"/>
        <v>139.86894399999997</v>
      </c>
      <c r="AF130" s="5">
        <f t="shared" si="49"/>
        <v>134.85349959999999</v>
      </c>
      <c r="AG130" s="5">
        <f t="shared" si="49"/>
        <v>139.39896600000003</v>
      </c>
      <c r="AH130" s="5">
        <f t="shared" si="49"/>
        <v>150.05157120000001</v>
      </c>
    </row>
    <row r="131" spans="22:43" x14ac:dyDescent="0.2">
      <c r="V131">
        <v>335</v>
      </c>
    </row>
    <row r="132" spans="22:43" x14ac:dyDescent="0.2">
      <c r="V132">
        <v>336</v>
      </c>
      <c r="W132" t="s">
        <v>21</v>
      </c>
    </row>
    <row r="133" spans="22:43" x14ac:dyDescent="0.2">
      <c r="W133">
        <v>3599</v>
      </c>
      <c r="X133">
        <v>2176.6999999999998</v>
      </c>
      <c r="Y133" s="3">
        <f>0.67*X133+0.33*AA133</f>
        <v>2260.52</v>
      </c>
      <c r="Z133" s="3">
        <f>0.33*X133+0.67*AA133</f>
        <v>2346.88</v>
      </c>
      <c r="AA133">
        <v>2430.6999999999998</v>
      </c>
      <c r="AB133">
        <v>2393</v>
      </c>
      <c r="AC133">
        <v>2295.5</v>
      </c>
      <c r="AD133">
        <v>2153.5</v>
      </c>
      <c r="AE133">
        <v>2061.9</v>
      </c>
      <c r="AF133">
        <v>1736.9</v>
      </c>
      <c r="AG133">
        <v>1596</v>
      </c>
      <c r="AH133">
        <v>2850.8</v>
      </c>
    </row>
    <row r="134" spans="22:43" x14ac:dyDescent="0.2">
      <c r="W134" t="s">
        <v>131</v>
      </c>
      <c r="AF134">
        <v>232.2</v>
      </c>
      <c r="AG134">
        <v>224.4</v>
      </c>
      <c r="AH134">
        <v>228.5</v>
      </c>
    </row>
    <row r="135" spans="22:43" x14ac:dyDescent="0.2">
      <c r="W135" t="s">
        <v>129</v>
      </c>
      <c r="X135">
        <f t="shared" ref="X135:AF135" si="50">X133/Y133*Y135</f>
        <v>3818.291569141672</v>
      </c>
      <c r="Y135">
        <f t="shared" si="50"/>
        <v>3965.3257030716832</v>
      </c>
      <c r="Z135">
        <f t="shared" si="50"/>
        <v>4116.8154168177552</v>
      </c>
      <c r="AA135">
        <f t="shared" si="50"/>
        <v>4263.8495507477655</v>
      </c>
      <c r="AB135">
        <f t="shared" si="50"/>
        <v>4197.7175196196176</v>
      </c>
      <c r="AC135">
        <f t="shared" si="50"/>
        <v>4026.6864046330265</v>
      </c>
      <c r="AD135">
        <f t="shared" si="50"/>
        <v>3777.5949346012735</v>
      </c>
      <c r="AE135">
        <f t="shared" si="50"/>
        <v>3616.9133947779733</v>
      </c>
      <c r="AF135">
        <f t="shared" si="50"/>
        <v>3046.809678156003</v>
      </c>
      <c r="AG135">
        <f>AG134/AH134*AH133</f>
        <v>2799.6477899343545</v>
      </c>
      <c r="AH135">
        <v>2850.8</v>
      </c>
      <c r="AK135">
        <f>SUM(AH135:AH137)</f>
        <v>4405.8999999999996</v>
      </c>
    </row>
    <row r="136" spans="22:43" x14ac:dyDescent="0.2">
      <c r="W136">
        <v>3543</v>
      </c>
      <c r="X136" s="3">
        <f>$AQ136*X37</f>
        <v>97.090354220804187</v>
      </c>
      <c r="Y136" s="3">
        <f t="shared" ref="Y136:AG136" si="51">$AQ136*Y37</f>
        <v>101.51747568058461</v>
      </c>
      <c r="Z136" s="3">
        <f t="shared" si="51"/>
        <v>101.70995922231418</v>
      </c>
      <c r="AA136" s="3">
        <f t="shared" si="51"/>
        <v>100.76823866869096</v>
      </c>
      <c r="AB136" s="3">
        <f t="shared" si="51"/>
        <v>103.11426119073917</v>
      </c>
      <c r="AC136" s="3">
        <f t="shared" si="51"/>
        <v>97.582946510391722</v>
      </c>
      <c r="AD136" s="3">
        <f t="shared" si="51"/>
        <v>90.614214413579788</v>
      </c>
      <c r="AE136" s="3">
        <f t="shared" si="51"/>
        <v>97.669874561495376</v>
      </c>
      <c r="AF136" s="3">
        <f t="shared" si="51"/>
        <v>94.595504666119965</v>
      </c>
      <c r="AG136" s="3">
        <f t="shared" si="51"/>
        <v>92.808145547701471</v>
      </c>
      <c r="AH136">
        <v>104.2</v>
      </c>
      <c r="AK136" t="s">
        <v>132</v>
      </c>
      <c r="AN136" t="s">
        <v>133</v>
      </c>
      <c r="AQ136">
        <f>AH136/AH37</f>
        <v>1.0348577512343229</v>
      </c>
    </row>
    <row r="137" spans="22:43" x14ac:dyDescent="0.2">
      <c r="W137">
        <v>3562</v>
      </c>
      <c r="X137">
        <v>1286.0999999999999</v>
      </c>
      <c r="Y137" s="3">
        <f>0.67*X137+0.33*AA137</f>
        <v>1289.598</v>
      </c>
      <c r="Z137" s="3">
        <f>0.33*X137+0.67*AA137</f>
        <v>1293.2020000000002</v>
      </c>
      <c r="AA137">
        <v>1296.7</v>
      </c>
      <c r="AB137">
        <v>1064.9000000000001</v>
      </c>
      <c r="AC137">
        <v>1255.0999999999999</v>
      </c>
      <c r="AD137">
        <v>1271.7</v>
      </c>
      <c r="AE137">
        <v>1439.6</v>
      </c>
      <c r="AF137">
        <v>1379</v>
      </c>
      <c r="AG137">
        <v>1438.3</v>
      </c>
      <c r="AH137">
        <v>1450.9</v>
      </c>
    </row>
    <row r="138" spans="22:43" x14ac:dyDescent="0.2">
      <c r="X138">
        <f>SUM(X135:X137)</f>
        <v>5201.4819233624767</v>
      </c>
      <c r="Y138">
        <f t="shared" ref="Y138:AG138" si="52">SUM(Y135:Y137)</f>
        <v>5356.4411787522677</v>
      </c>
      <c r="Z138">
        <f t="shared" si="52"/>
        <v>5511.7273760400694</v>
      </c>
      <c r="AA138">
        <f t="shared" si="52"/>
        <v>5661.3177894164564</v>
      </c>
      <c r="AB138">
        <f t="shared" si="52"/>
        <v>5365.7317808103562</v>
      </c>
      <c r="AC138">
        <f t="shared" si="52"/>
        <v>5379.3693511434176</v>
      </c>
      <c r="AD138">
        <f t="shared" si="52"/>
        <v>5139.909149014853</v>
      </c>
      <c r="AE138">
        <f t="shared" si="52"/>
        <v>5154.1832693394681</v>
      </c>
      <c r="AF138">
        <f t="shared" si="52"/>
        <v>4520.4051828221236</v>
      </c>
      <c r="AG138">
        <f t="shared" si="52"/>
        <v>4330.755935482056</v>
      </c>
      <c r="AH138">
        <f>SUM(AH135:AH137)</f>
        <v>4405.8999999999996</v>
      </c>
      <c r="AI138">
        <f>AG135/AG133</f>
        <v>1.7541652819137559</v>
      </c>
    </row>
    <row r="139" spans="22:43" x14ac:dyDescent="0.2">
      <c r="W139" t="s">
        <v>130</v>
      </c>
      <c r="X139" s="5">
        <f t="shared" ref="X139:AH139" si="53">3.412*X138*0.001</f>
        <v>17.747456322512772</v>
      </c>
      <c r="Y139" s="5">
        <f t="shared" si="53"/>
        <v>18.276177301902734</v>
      </c>
      <c r="Z139" s="5">
        <f t="shared" si="53"/>
        <v>18.806013807048714</v>
      </c>
      <c r="AA139" s="5">
        <f t="shared" si="53"/>
        <v>19.316416297488949</v>
      </c>
      <c r="AB139" s="5">
        <f t="shared" si="53"/>
        <v>18.307876836124937</v>
      </c>
      <c r="AC139" s="5">
        <f t="shared" si="53"/>
        <v>18.354408226101338</v>
      </c>
      <c r="AD139" s="5">
        <f t="shared" si="53"/>
        <v>17.537370016438679</v>
      </c>
      <c r="AE139" s="5">
        <f t="shared" si="53"/>
        <v>17.586073314986265</v>
      </c>
      <c r="AF139" s="5">
        <f t="shared" si="53"/>
        <v>15.423622483789087</v>
      </c>
      <c r="AG139" s="5">
        <f t="shared" si="53"/>
        <v>14.776539251864776</v>
      </c>
      <c r="AH139" s="5">
        <f t="shared" si="53"/>
        <v>15.032930799999999</v>
      </c>
    </row>
    <row r="141" spans="22:43" x14ac:dyDescent="0.2">
      <c r="W141" t="s">
        <v>148</v>
      </c>
    </row>
    <row r="142" spans="22:43" x14ac:dyDescent="0.2">
      <c r="W142">
        <v>2434</v>
      </c>
      <c r="X142">
        <v>416.4</v>
      </c>
      <c r="Y142" s="3">
        <f>0.67*X142+0.33*AA142</f>
        <v>408.21600000000001</v>
      </c>
      <c r="Z142" s="3">
        <f>0.33*X142+0.67*AA142</f>
        <v>399.78399999999999</v>
      </c>
      <c r="AA142">
        <v>391.6</v>
      </c>
      <c r="AB142">
        <v>335.7</v>
      </c>
      <c r="AC142">
        <v>341.3</v>
      </c>
      <c r="AD142">
        <v>390.6</v>
      </c>
      <c r="AE142">
        <v>483.6</v>
      </c>
      <c r="AF142">
        <v>458.9</v>
      </c>
      <c r="AG142">
        <v>474.8</v>
      </c>
      <c r="AH142">
        <v>641.70000000000005</v>
      </c>
    </row>
    <row r="143" spans="22:43" x14ac:dyDescent="0.2">
      <c r="W143" t="s">
        <v>134</v>
      </c>
      <c r="X143">
        <f>X142*3.412*0.001</f>
        <v>1.4207567999999999</v>
      </c>
      <c r="Y143">
        <f t="shared" ref="Y143:AH143" si="54">Y142*3.412*0.001</f>
        <v>1.3928329920000002</v>
      </c>
      <c r="Z143">
        <f t="shared" si="54"/>
        <v>1.3640630079999998</v>
      </c>
      <c r="AA143">
        <f t="shared" si="54"/>
        <v>1.3361392000000001</v>
      </c>
      <c r="AB143">
        <f t="shared" si="54"/>
        <v>1.1454084</v>
      </c>
      <c r="AC143">
        <f t="shared" si="54"/>
        <v>1.1645155999999999</v>
      </c>
      <c r="AD143">
        <f t="shared" si="54"/>
        <v>1.3327272000000001</v>
      </c>
      <c r="AE143">
        <f t="shared" si="54"/>
        <v>1.6500432</v>
      </c>
      <c r="AF143">
        <f t="shared" si="54"/>
        <v>1.5657668</v>
      </c>
      <c r="AG143">
        <f t="shared" si="54"/>
        <v>1.6200175999999999</v>
      </c>
      <c r="AH143">
        <f t="shared" si="54"/>
        <v>2.1894803999999999</v>
      </c>
    </row>
    <row r="144" spans="22:43" x14ac:dyDescent="0.2">
      <c r="W144" t="s">
        <v>149</v>
      </c>
      <c r="X144">
        <f>X143/X28</f>
        <v>2.5775703918722786E-2</v>
      </c>
      <c r="Y144">
        <f t="shared" ref="Y144:AH144" si="55">Y143/Y28</f>
        <v>2.4490232482900502E-2</v>
      </c>
      <c r="Z144">
        <f t="shared" si="55"/>
        <v>2.4885757174392936E-2</v>
      </c>
      <c r="AA144">
        <f t="shared" si="55"/>
        <v>2.6696087912087912E-2</v>
      </c>
      <c r="AB144">
        <f t="shared" si="55"/>
        <v>2.3105954974582423E-2</v>
      </c>
      <c r="AC144">
        <f t="shared" si="55"/>
        <v>2.334868370927318E-2</v>
      </c>
      <c r="AD144">
        <f t="shared" si="55"/>
        <v>2.5287501660247048E-2</v>
      </c>
      <c r="AE144">
        <f t="shared" si="55"/>
        <v>2.8904009669451888E-2</v>
      </c>
      <c r="AF144">
        <f t="shared" si="55"/>
        <v>2.7371685902597597E-2</v>
      </c>
      <c r="AG144">
        <f t="shared" si="55"/>
        <v>2.6734836370188513E-2</v>
      </c>
      <c r="AH144">
        <f t="shared" si="55"/>
        <v>3.0905938448201126E-2</v>
      </c>
    </row>
    <row r="152" spans="22:37" x14ac:dyDescent="0.2">
      <c r="V152" t="s">
        <v>27</v>
      </c>
    </row>
    <row r="154" spans="22:37" x14ac:dyDescent="0.2">
      <c r="X154">
        <v>1977</v>
      </c>
      <c r="Y154">
        <f>X154+1</f>
        <v>1978</v>
      </c>
      <c r="Z154">
        <f t="shared" ref="Z154:AH154" si="56">Y154+1</f>
        <v>1979</v>
      </c>
      <c r="AA154">
        <f t="shared" si="56"/>
        <v>1980</v>
      </c>
      <c r="AB154">
        <f t="shared" si="56"/>
        <v>1981</v>
      </c>
      <c r="AC154">
        <f t="shared" si="56"/>
        <v>1982</v>
      </c>
      <c r="AD154">
        <f t="shared" si="56"/>
        <v>1983</v>
      </c>
      <c r="AE154">
        <f t="shared" si="56"/>
        <v>1984</v>
      </c>
      <c r="AF154">
        <f t="shared" si="56"/>
        <v>1985</v>
      </c>
      <c r="AG154">
        <f t="shared" si="56"/>
        <v>1986</v>
      </c>
      <c r="AH154">
        <f t="shared" si="56"/>
        <v>1987</v>
      </c>
      <c r="AJ154" t="s">
        <v>28</v>
      </c>
    </row>
    <row r="155" spans="22:37" x14ac:dyDescent="0.2">
      <c r="V155" t="str">
        <f t="shared" ref="V155:AH155" si="57">V25</f>
        <v>311-312</v>
      </c>
      <c r="W155">
        <f t="shared" si="57"/>
        <v>1</v>
      </c>
      <c r="X155">
        <f t="shared" si="57"/>
        <v>140.86499999999998</v>
      </c>
      <c r="Y155">
        <f t="shared" si="57"/>
        <v>142.619</v>
      </c>
      <c r="Z155">
        <f t="shared" si="57"/>
        <v>139.40800000000002</v>
      </c>
      <c r="AA155">
        <f t="shared" si="57"/>
        <v>145.053</v>
      </c>
      <c r="AB155">
        <f t="shared" si="57"/>
        <v>146.25200000000001</v>
      </c>
      <c r="AC155">
        <f t="shared" si="57"/>
        <v>161.78</v>
      </c>
      <c r="AD155">
        <f t="shared" si="57"/>
        <v>155.00300000000001</v>
      </c>
      <c r="AE155">
        <f t="shared" si="57"/>
        <v>159.57299999999998</v>
      </c>
      <c r="AF155">
        <f t="shared" si="57"/>
        <v>159.61404240000002</v>
      </c>
      <c r="AG155">
        <f t="shared" si="57"/>
        <v>162.34671320000001</v>
      </c>
      <c r="AH155">
        <f t="shared" si="57"/>
        <v>175.813536</v>
      </c>
      <c r="AJ155">
        <f t="shared" ref="AJ155:AJ172" si="58">AJ2</f>
        <v>175.813536</v>
      </c>
      <c r="AK155">
        <f>AJ155/3.412*1000</f>
        <v>51528</v>
      </c>
    </row>
    <row r="156" spans="22:37" x14ac:dyDescent="0.2">
      <c r="V156" t="str">
        <f t="shared" ref="V156:AH156" si="59">V26</f>
        <v>313-314</v>
      </c>
      <c r="W156">
        <f t="shared" si="59"/>
        <v>2</v>
      </c>
      <c r="X156">
        <f t="shared" si="59"/>
        <v>96.551000000000002</v>
      </c>
      <c r="Y156">
        <f t="shared" si="59"/>
        <v>96.179999999999993</v>
      </c>
      <c r="Z156">
        <f t="shared" si="59"/>
        <v>94.646999999999991</v>
      </c>
      <c r="AA156">
        <f t="shared" si="59"/>
        <v>91.671999999999997</v>
      </c>
      <c r="AB156">
        <f t="shared" si="59"/>
        <v>91.22</v>
      </c>
      <c r="AC156">
        <f t="shared" si="59"/>
        <v>85.969999999999985</v>
      </c>
      <c r="AD156">
        <f t="shared" si="59"/>
        <v>93.370999999999995</v>
      </c>
      <c r="AE156">
        <f t="shared" si="59"/>
        <v>95.367999999999995</v>
      </c>
      <c r="AF156">
        <f t="shared" si="59"/>
        <v>91.731961199999986</v>
      </c>
      <c r="AG156">
        <f t="shared" si="59"/>
        <v>94.829033600000017</v>
      </c>
      <c r="AH156">
        <f t="shared" si="59"/>
        <v>106.82596680000002</v>
      </c>
      <c r="AJ156">
        <f t="shared" si="58"/>
        <v>100.9068292</v>
      </c>
      <c r="AK156">
        <f t="shared" ref="AK156:AK172" si="60">AJ156/3.412*1000</f>
        <v>29574.100000000002</v>
      </c>
    </row>
    <row r="157" spans="22:37" x14ac:dyDescent="0.2">
      <c r="V157" t="str">
        <f t="shared" ref="V157:AH157" si="61">V27</f>
        <v>315-316</v>
      </c>
      <c r="W157">
        <f t="shared" si="61"/>
        <v>3</v>
      </c>
      <c r="X157">
        <f t="shared" si="61"/>
        <v>25.074999999999999</v>
      </c>
      <c r="Y157">
        <f t="shared" si="61"/>
        <v>23.369</v>
      </c>
      <c r="Z157">
        <f t="shared" si="61"/>
        <v>20.447999999999997</v>
      </c>
      <c r="AA157">
        <f t="shared" si="61"/>
        <v>21.414000000000001</v>
      </c>
      <c r="AB157">
        <f t="shared" si="61"/>
        <v>21.235999999999997</v>
      </c>
      <c r="AC157">
        <f t="shared" si="61"/>
        <v>21.220000000000002</v>
      </c>
      <c r="AD157">
        <f t="shared" si="61"/>
        <v>21.192</v>
      </c>
      <c r="AE157">
        <f t="shared" si="61"/>
        <v>23.471999999999998</v>
      </c>
      <c r="AF157">
        <f t="shared" si="61"/>
        <v>19.829520399999996</v>
      </c>
      <c r="AG157">
        <f t="shared" si="61"/>
        <v>20.001826399999999</v>
      </c>
      <c r="AH157">
        <f t="shared" si="61"/>
        <v>20.253290799999998</v>
      </c>
      <c r="AJ157">
        <f t="shared" si="58"/>
        <v>26.450506399999998</v>
      </c>
      <c r="AK157">
        <f t="shared" si="60"/>
        <v>7752.1999999999989</v>
      </c>
    </row>
    <row r="158" spans="22:37" x14ac:dyDescent="0.2">
      <c r="V158">
        <f t="shared" ref="V158:W172" si="62">V28</f>
        <v>321</v>
      </c>
      <c r="W158">
        <f t="shared" si="62"/>
        <v>4</v>
      </c>
      <c r="X158">
        <f>X28-X143</f>
        <v>53.699243199999998</v>
      </c>
      <c r="Y158">
        <f t="shared" ref="Y158:AH158" si="63">Y28-Y143</f>
        <v>55.480167007999995</v>
      </c>
      <c r="Z158">
        <f t="shared" si="63"/>
        <v>53.448936991999993</v>
      </c>
      <c r="AA158">
        <f t="shared" si="63"/>
        <v>48.713860800000006</v>
      </c>
      <c r="AB158">
        <f t="shared" si="63"/>
        <v>48.426591600000002</v>
      </c>
      <c r="AC158">
        <f t="shared" si="63"/>
        <v>48.710484399999999</v>
      </c>
      <c r="AD158">
        <f t="shared" si="63"/>
        <v>51.370272799999995</v>
      </c>
      <c r="AE158">
        <f t="shared" si="63"/>
        <v>55.436956800000004</v>
      </c>
      <c r="AF158">
        <f t="shared" si="63"/>
        <v>55.638119199999998</v>
      </c>
      <c r="AG158">
        <f t="shared" si="63"/>
        <v>58.975737600000009</v>
      </c>
      <c r="AH158">
        <f t="shared" si="63"/>
        <v>68.653875600000006</v>
      </c>
      <c r="AJ158">
        <f t="shared" si="58"/>
        <v>68.653875599999992</v>
      </c>
      <c r="AK158">
        <f t="shared" si="60"/>
        <v>20121.3</v>
      </c>
    </row>
    <row r="159" spans="22:37" x14ac:dyDescent="0.2">
      <c r="V159">
        <f t="shared" si="62"/>
        <v>322</v>
      </c>
      <c r="W159">
        <f t="shared" si="62"/>
        <v>5</v>
      </c>
      <c r="X159">
        <f t="shared" ref="X159:AH159" si="64">X29</f>
        <v>152.09</v>
      </c>
      <c r="Y159">
        <f t="shared" si="64"/>
        <v>155.65</v>
      </c>
      <c r="Z159">
        <f t="shared" si="64"/>
        <v>157.51999999999998</v>
      </c>
      <c r="AA159">
        <f t="shared" si="64"/>
        <v>169.56000000000003</v>
      </c>
      <c r="AB159">
        <f t="shared" si="64"/>
        <v>178.14</v>
      </c>
      <c r="AC159">
        <f t="shared" si="64"/>
        <v>172.49</v>
      </c>
      <c r="AD159">
        <f t="shared" si="64"/>
        <v>176.82000000000002</v>
      </c>
      <c r="AE159">
        <f t="shared" si="64"/>
        <v>182.95000000000002</v>
      </c>
      <c r="AF159">
        <f t="shared" si="64"/>
        <v>178.95667040000001</v>
      </c>
      <c r="AG159">
        <f t="shared" si="64"/>
        <v>198.8902568</v>
      </c>
      <c r="AH159">
        <f t="shared" si="64"/>
        <v>202.15315239999998</v>
      </c>
      <c r="AJ159">
        <f t="shared" si="58"/>
        <v>202.15281119999997</v>
      </c>
      <c r="AK159">
        <f t="shared" si="60"/>
        <v>59247.599999999991</v>
      </c>
    </row>
    <row r="160" spans="22:37" x14ac:dyDescent="0.2">
      <c r="V160">
        <f t="shared" si="62"/>
        <v>323</v>
      </c>
      <c r="W160">
        <f t="shared" si="62"/>
        <v>6</v>
      </c>
      <c r="X160" s="9">
        <f t="shared" ref="X160:AH160" si="65">X102</f>
        <v>25.234562799999999</v>
      </c>
      <c r="Y160" s="9">
        <f t="shared" si="65"/>
        <v>24.402028024444647</v>
      </c>
      <c r="Z160" s="9">
        <f t="shared" si="65"/>
        <v>22.376590570857598</v>
      </c>
      <c r="AA160" s="9">
        <f t="shared" si="65"/>
        <v>22.616652799999997</v>
      </c>
      <c r="AB160" s="9">
        <f t="shared" si="65"/>
        <v>24.405611999999998</v>
      </c>
      <c r="AC160" s="9">
        <f t="shared" si="65"/>
        <v>25.030505199999997</v>
      </c>
      <c r="AD160" s="9">
        <f t="shared" si="65"/>
        <v>25.406826000000002</v>
      </c>
      <c r="AE160" s="9">
        <f t="shared" si="65"/>
        <v>30.7996832</v>
      </c>
      <c r="AF160" s="9">
        <f t="shared" si="65"/>
        <v>29.8429444</v>
      </c>
      <c r="AG160" s="9">
        <f t="shared" si="65"/>
        <v>32.040726399999997</v>
      </c>
      <c r="AH160" s="9">
        <f t="shared" si="65"/>
        <v>37.0512236</v>
      </c>
      <c r="AJ160">
        <f t="shared" si="58"/>
        <v>38.495548799999995</v>
      </c>
      <c r="AK160">
        <f t="shared" si="60"/>
        <v>11282.4</v>
      </c>
    </row>
    <row r="161" spans="22:37" x14ac:dyDescent="0.2">
      <c r="V161">
        <f t="shared" si="62"/>
        <v>324</v>
      </c>
      <c r="W161">
        <f t="shared" si="62"/>
        <v>7</v>
      </c>
      <c r="X161">
        <f t="shared" ref="X161:AH161" si="66">X31</f>
        <v>102.88200000000001</v>
      </c>
      <c r="Y161">
        <f t="shared" si="66"/>
        <v>103.25500000000001</v>
      </c>
      <c r="Z161">
        <f t="shared" si="66"/>
        <v>107.747</v>
      </c>
      <c r="AA161">
        <f t="shared" si="66"/>
        <v>109.911</v>
      </c>
      <c r="AB161">
        <f t="shared" si="66"/>
        <v>110.999</v>
      </c>
      <c r="AC161">
        <f t="shared" si="66"/>
        <v>116.59400000000001</v>
      </c>
      <c r="AD161">
        <f t="shared" si="66"/>
        <v>114.117</v>
      </c>
      <c r="AE161">
        <f t="shared" si="66"/>
        <v>118.729</v>
      </c>
      <c r="AF161">
        <f t="shared" si="66"/>
        <v>119.877208</v>
      </c>
      <c r="AG161">
        <f t="shared" si="66"/>
        <v>126.45008479999998</v>
      </c>
      <c r="AH161">
        <f t="shared" si="66"/>
        <v>114.11706960000001</v>
      </c>
      <c r="AJ161">
        <f t="shared" si="58"/>
        <v>114.11706959999999</v>
      </c>
      <c r="AK161">
        <f t="shared" si="60"/>
        <v>33445.799999999996</v>
      </c>
    </row>
    <row r="162" spans="22:37" x14ac:dyDescent="0.2">
      <c r="V162">
        <f t="shared" si="62"/>
        <v>325</v>
      </c>
      <c r="W162">
        <f t="shared" si="62"/>
        <v>8</v>
      </c>
      <c r="X162">
        <f t="shared" ref="X162:AH162" si="67">X32</f>
        <v>485.13100000000003</v>
      </c>
      <c r="Y162">
        <f t="shared" si="67"/>
        <v>478.24799999999999</v>
      </c>
      <c r="Z162">
        <f t="shared" si="67"/>
        <v>478.37200000000001</v>
      </c>
      <c r="AA162">
        <f t="shared" si="67"/>
        <v>438.96300000000008</v>
      </c>
      <c r="AB162">
        <f t="shared" si="67"/>
        <v>436.74200000000002</v>
      </c>
      <c r="AC162">
        <f t="shared" si="67"/>
        <v>398.428</v>
      </c>
      <c r="AD162">
        <f t="shared" si="67"/>
        <v>422.375</v>
      </c>
      <c r="AE162">
        <f t="shared" si="67"/>
        <v>454.26100000000002</v>
      </c>
      <c r="AF162">
        <f t="shared" si="67"/>
        <v>429.44284999999991</v>
      </c>
      <c r="AG162">
        <f t="shared" si="67"/>
        <v>408.37272640000003</v>
      </c>
      <c r="AH162">
        <f t="shared" si="67"/>
        <v>424.05530199999998</v>
      </c>
      <c r="AJ162">
        <f t="shared" si="58"/>
        <v>427.02851879999997</v>
      </c>
      <c r="AK162">
        <f t="shared" si="60"/>
        <v>125154.9</v>
      </c>
    </row>
    <row r="163" spans="22:37" x14ac:dyDescent="0.2">
      <c r="V163">
        <f t="shared" si="62"/>
        <v>326</v>
      </c>
      <c r="W163">
        <f t="shared" si="62"/>
        <v>9</v>
      </c>
      <c r="X163">
        <f t="shared" ref="X163:AH163" si="68">X33</f>
        <v>76.97</v>
      </c>
      <c r="Y163">
        <f t="shared" si="68"/>
        <v>78.38</v>
      </c>
      <c r="Z163">
        <f t="shared" si="68"/>
        <v>77.92</v>
      </c>
      <c r="AA163">
        <f t="shared" si="68"/>
        <v>73.91</v>
      </c>
      <c r="AB163">
        <f t="shared" si="68"/>
        <v>78.180000000000007</v>
      </c>
      <c r="AC163">
        <f t="shared" si="68"/>
        <v>105.1</v>
      </c>
      <c r="AD163">
        <f t="shared" si="68"/>
        <v>109.3</v>
      </c>
      <c r="AE163">
        <f t="shared" si="68"/>
        <v>100.8</v>
      </c>
      <c r="AF163">
        <f t="shared" si="68"/>
        <v>102.70972999999999</v>
      </c>
      <c r="AG163">
        <f t="shared" si="68"/>
        <v>106.52741680000001</v>
      </c>
      <c r="AH163">
        <f t="shared" si="68"/>
        <v>112.86896</v>
      </c>
      <c r="AJ163">
        <f t="shared" si="58"/>
        <v>108.93594759999999</v>
      </c>
      <c r="AK163">
        <f t="shared" si="60"/>
        <v>31927.3</v>
      </c>
    </row>
    <row r="164" spans="22:37" x14ac:dyDescent="0.2">
      <c r="V164">
        <f t="shared" si="62"/>
        <v>327</v>
      </c>
      <c r="W164">
        <f t="shared" si="62"/>
        <v>10</v>
      </c>
      <c r="X164">
        <f t="shared" ref="X164:AH164" si="69">X34</f>
        <v>105.52000000000001</v>
      </c>
      <c r="Y164">
        <f t="shared" si="69"/>
        <v>111.75</v>
      </c>
      <c r="Z164">
        <f t="shared" si="69"/>
        <v>112.55</v>
      </c>
      <c r="AA164">
        <f t="shared" si="69"/>
        <v>104.09</v>
      </c>
      <c r="AB164">
        <f t="shared" si="69"/>
        <v>102.72999999999999</v>
      </c>
      <c r="AC164">
        <f t="shared" si="69"/>
        <v>95.11</v>
      </c>
      <c r="AD164">
        <f t="shared" si="69"/>
        <v>95.37</v>
      </c>
      <c r="AE164">
        <f t="shared" si="69"/>
        <v>102.50999999999999</v>
      </c>
      <c r="AF164">
        <f t="shared" si="69"/>
        <v>104.12332160000001</v>
      </c>
      <c r="AG164">
        <f t="shared" si="69"/>
        <v>107.91610079999998</v>
      </c>
      <c r="AH164">
        <f t="shared" si="69"/>
        <v>113.658838</v>
      </c>
      <c r="AJ164">
        <f t="shared" si="58"/>
        <v>113.86799359999999</v>
      </c>
      <c r="AK164">
        <f t="shared" si="60"/>
        <v>33372.799999999996</v>
      </c>
    </row>
    <row r="165" spans="22:37" x14ac:dyDescent="0.2">
      <c r="V165">
        <f t="shared" si="62"/>
        <v>331</v>
      </c>
      <c r="W165">
        <f t="shared" si="62"/>
        <v>11</v>
      </c>
      <c r="X165">
        <f t="shared" ref="X165:AH165" si="70">X35</f>
        <v>561.74</v>
      </c>
      <c r="Y165">
        <f t="shared" si="70"/>
        <v>586.45000000000005</v>
      </c>
      <c r="Z165">
        <f t="shared" si="70"/>
        <v>610.53999999999985</v>
      </c>
      <c r="AA165">
        <f t="shared" si="70"/>
        <v>575.86</v>
      </c>
      <c r="AB165">
        <f t="shared" si="70"/>
        <v>580.99</v>
      </c>
      <c r="AC165">
        <f t="shared" si="70"/>
        <v>420.37</v>
      </c>
      <c r="AD165">
        <f t="shared" si="70"/>
        <v>410.43</v>
      </c>
      <c r="AE165">
        <f t="shared" si="70"/>
        <v>490.01</v>
      </c>
      <c r="AF165">
        <f t="shared" si="70"/>
        <v>454.3153064</v>
      </c>
      <c r="AG165">
        <f t="shared" si="70"/>
        <v>428.01424559999998</v>
      </c>
      <c r="AH165">
        <f t="shared" si="70"/>
        <v>445.84160439999999</v>
      </c>
      <c r="AJ165">
        <f t="shared" si="58"/>
        <v>445.69898280000001</v>
      </c>
      <c r="AK165">
        <f t="shared" si="60"/>
        <v>130626.90000000001</v>
      </c>
    </row>
    <row r="166" spans="22:37" x14ac:dyDescent="0.2">
      <c r="V166">
        <f t="shared" si="62"/>
        <v>332</v>
      </c>
      <c r="W166">
        <f t="shared" si="62"/>
        <v>12</v>
      </c>
      <c r="X166" s="6">
        <f t="shared" ref="X166:AH166" si="71">X116+X139</f>
        <v>97.355763122512784</v>
      </c>
      <c r="Y166" s="6">
        <f t="shared" si="71"/>
        <v>98.581906805902733</v>
      </c>
      <c r="Z166" s="6">
        <f t="shared" si="71"/>
        <v>99.433966703048725</v>
      </c>
      <c r="AA166" s="6">
        <f t="shared" si="71"/>
        <v>97.165791897488958</v>
      </c>
      <c r="AB166" s="6">
        <f t="shared" si="71"/>
        <v>97.076876036124915</v>
      </c>
      <c r="AC166" s="6">
        <f t="shared" si="71"/>
        <v>97.191778226101349</v>
      </c>
      <c r="AD166" s="6">
        <f t="shared" si="71"/>
        <v>92.786209616438697</v>
      </c>
      <c r="AE166" s="6">
        <f t="shared" si="71"/>
        <v>102.60378931498627</v>
      </c>
      <c r="AF166" s="6">
        <f t="shared" si="71"/>
        <v>100.74784768378909</v>
      </c>
      <c r="AG166" s="6">
        <f t="shared" si="71"/>
        <v>97.789475651864777</v>
      </c>
      <c r="AH166" s="6">
        <f t="shared" si="71"/>
        <v>110.54879999999999</v>
      </c>
      <c r="AJ166">
        <f t="shared" si="58"/>
        <v>110.82210119999999</v>
      </c>
      <c r="AK166">
        <f t="shared" si="60"/>
        <v>32480.1</v>
      </c>
    </row>
    <row r="167" spans="22:37" x14ac:dyDescent="0.2">
      <c r="V167">
        <f t="shared" si="62"/>
        <v>333</v>
      </c>
      <c r="W167">
        <f t="shared" si="62"/>
        <v>13</v>
      </c>
      <c r="X167" s="5">
        <f t="shared" ref="X167:AH167" si="72">X121-X139</f>
        <v>73.307800077487229</v>
      </c>
      <c r="Y167" s="5">
        <f t="shared" si="72"/>
        <v>77.050435934097266</v>
      </c>
      <c r="Z167" s="5">
        <f t="shared" si="72"/>
        <v>76.699754956951281</v>
      </c>
      <c r="AA167" s="5">
        <f t="shared" si="72"/>
        <v>75.272709302511032</v>
      </c>
      <c r="AB167" s="5">
        <f t="shared" si="72"/>
        <v>78.476596763875065</v>
      </c>
      <c r="AC167" s="5">
        <f t="shared" si="72"/>
        <v>73.266242573898666</v>
      </c>
      <c r="AD167" s="5">
        <f t="shared" si="72"/>
        <v>67.16639758356132</v>
      </c>
      <c r="AE167" s="5">
        <f t="shared" si="72"/>
        <v>73.727903485013712</v>
      </c>
      <c r="AF167" s="5">
        <f t="shared" si="72"/>
        <v>72.999381116210927</v>
      </c>
      <c r="AG167" s="5">
        <f t="shared" si="72"/>
        <v>72.125394748135207</v>
      </c>
      <c r="AH167" s="5">
        <f t="shared" si="72"/>
        <v>83.477650800000021</v>
      </c>
      <c r="AJ167">
        <f t="shared" si="58"/>
        <v>83.661216399999986</v>
      </c>
      <c r="AK167">
        <f t="shared" si="60"/>
        <v>24519.699999999997</v>
      </c>
    </row>
    <row r="168" spans="22:37" x14ac:dyDescent="0.2">
      <c r="V168">
        <f t="shared" si="62"/>
        <v>334</v>
      </c>
      <c r="W168">
        <f t="shared" si="62"/>
        <v>14</v>
      </c>
      <c r="X168" s="6">
        <f t="shared" ref="X168:AH168" si="73">X110</f>
        <v>56.484438799999992</v>
      </c>
      <c r="Y168" s="6">
        <f t="shared" si="73"/>
        <v>60.14735970000001</v>
      </c>
      <c r="Z168" s="6">
        <f t="shared" si="73"/>
        <v>64.616247899999991</v>
      </c>
      <c r="AA168" s="6">
        <f t="shared" si="73"/>
        <v>69.040168800000004</v>
      </c>
      <c r="AB168" s="6">
        <f t="shared" si="73"/>
        <v>73.834581600000007</v>
      </c>
      <c r="AC168" s="6">
        <f t="shared" si="73"/>
        <v>78.802437600000005</v>
      </c>
      <c r="AD168" s="6">
        <f t="shared" si="73"/>
        <v>82.620475599999992</v>
      </c>
      <c r="AE168" s="6">
        <f t="shared" si="73"/>
        <v>89.656290000000013</v>
      </c>
      <c r="AF168" s="6">
        <f t="shared" si="73"/>
        <v>94.876119200000019</v>
      </c>
      <c r="AG168" s="6">
        <f t="shared" si="73"/>
        <v>99.118258799999992</v>
      </c>
      <c r="AH168" s="6">
        <f t="shared" si="73"/>
        <v>105.55943240000001</v>
      </c>
      <c r="AJ168">
        <f t="shared" si="58"/>
        <v>106.67549759999999</v>
      </c>
      <c r="AK168">
        <f t="shared" si="60"/>
        <v>31264.799999999999</v>
      </c>
    </row>
    <row r="169" spans="22:37" x14ac:dyDescent="0.2">
      <c r="V169">
        <f t="shared" si="62"/>
        <v>335</v>
      </c>
      <c r="W169">
        <f t="shared" si="62"/>
        <v>15</v>
      </c>
      <c r="X169" s="6">
        <f t="shared" ref="X169:AH169" si="74">X128</f>
        <v>41.655875999999999</v>
      </c>
      <c r="Y169" s="6">
        <f t="shared" si="74"/>
        <v>43.540511007999996</v>
      </c>
      <c r="Z169" s="6">
        <f t="shared" si="74"/>
        <v>44.844498591999994</v>
      </c>
      <c r="AA169" s="6">
        <f t="shared" si="74"/>
        <v>42.171133600000005</v>
      </c>
      <c r="AB169" s="6">
        <f t="shared" si="74"/>
        <v>41.740159200000001</v>
      </c>
      <c r="AC169" s="6">
        <f t="shared" si="74"/>
        <v>42.4085088</v>
      </c>
      <c r="AD169" s="6">
        <f t="shared" si="74"/>
        <v>42.504738400000001</v>
      </c>
      <c r="AE169" s="6">
        <f t="shared" si="74"/>
        <v>45.071363199999993</v>
      </c>
      <c r="AF169" s="6">
        <f t="shared" si="74"/>
        <v>43.0567104</v>
      </c>
      <c r="AG169" s="6">
        <f t="shared" si="74"/>
        <v>43.779372000000002</v>
      </c>
      <c r="AH169" s="6">
        <f t="shared" si="74"/>
        <v>45.316819199999998</v>
      </c>
      <c r="AJ169">
        <f t="shared" si="58"/>
        <v>43.329670399999998</v>
      </c>
      <c r="AK169">
        <f t="shared" si="60"/>
        <v>12699.199999999999</v>
      </c>
    </row>
    <row r="170" spans="22:37" x14ac:dyDescent="0.2">
      <c r="V170">
        <f t="shared" si="62"/>
        <v>336</v>
      </c>
      <c r="W170">
        <f t="shared" si="62"/>
        <v>16</v>
      </c>
      <c r="X170" s="6">
        <f t="shared" ref="X170:AH170" si="75">X130</f>
        <v>123.38256079999999</v>
      </c>
      <c r="Y170" s="6">
        <f t="shared" si="75"/>
        <v>124.91814625200001</v>
      </c>
      <c r="Z170" s="6">
        <f t="shared" si="75"/>
        <v>124.753779748</v>
      </c>
      <c r="AA170" s="6">
        <f t="shared" si="75"/>
        <v>117.10836519999999</v>
      </c>
      <c r="AB170" s="6">
        <f t="shared" si="75"/>
        <v>117.40136800000001</v>
      </c>
      <c r="AC170" s="6">
        <f t="shared" si="75"/>
        <v>112.3124704</v>
      </c>
      <c r="AD170" s="6">
        <f t="shared" si="75"/>
        <v>119.7376544</v>
      </c>
      <c r="AE170" s="6">
        <f t="shared" si="75"/>
        <v>139.86894399999997</v>
      </c>
      <c r="AF170" s="6">
        <f t="shared" si="75"/>
        <v>134.85349959999999</v>
      </c>
      <c r="AG170" s="6">
        <f t="shared" si="75"/>
        <v>139.39896600000003</v>
      </c>
      <c r="AH170" s="6">
        <f t="shared" si="75"/>
        <v>150.05157120000001</v>
      </c>
      <c r="AJ170">
        <f t="shared" si="58"/>
        <v>149.9430696</v>
      </c>
      <c r="AK170">
        <f t="shared" si="60"/>
        <v>43945.799999999996</v>
      </c>
    </row>
    <row r="171" spans="22:37" x14ac:dyDescent="0.2">
      <c r="V171">
        <f t="shared" si="62"/>
        <v>337</v>
      </c>
      <c r="W171">
        <f t="shared" si="62"/>
        <v>17</v>
      </c>
      <c r="X171">
        <f>X41+X143</f>
        <v>15.7177568</v>
      </c>
      <c r="Y171">
        <f t="shared" ref="Y171:AH171" si="76">Y41+Y143</f>
        <v>15.910832992000001</v>
      </c>
      <c r="Z171">
        <f t="shared" si="76"/>
        <v>15.124063008000002</v>
      </c>
      <c r="AA171">
        <f t="shared" si="76"/>
        <v>14.8191392</v>
      </c>
      <c r="AB171">
        <f t="shared" si="76"/>
        <v>15.282408400000001</v>
      </c>
      <c r="AC171">
        <f t="shared" si="76"/>
        <v>14.8115156</v>
      </c>
      <c r="AD171">
        <f t="shared" si="76"/>
        <v>15.893727200000001</v>
      </c>
      <c r="AE171">
        <f t="shared" si="76"/>
        <v>17.164043199999998</v>
      </c>
      <c r="AF171">
        <f t="shared" si="76"/>
        <v>16.8351492</v>
      </c>
      <c r="AG171">
        <f t="shared" si="76"/>
        <v>17.583059599999999</v>
      </c>
      <c r="AH171">
        <f t="shared" si="76"/>
        <v>21.681554000000002</v>
      </c>
      <c r="AJ171">
        <f t="shared" si="58"/>
        <v>21.677459599999995</v>
      </c>
      <c r="AK171">
        <f t="shared" si="60"/>
        <v>6353.2999999999993</v>
      </c>
    </row>
    <row r="172" spans="22:37" x14ac:dyDescent="0.2">
      <c r="V172">
        <f t="shared" si="62"/>
        <v>339</v>
      </c>
      <c r="W172">
        <f t="shared" si="62"/>
        <v>18</v>
      </c>
      <c r="X172" s="6">
        <f t="shared" ref="X172:AH172" si="77">X111</f>
        <v>18.966561200000001</v>
      </c>
      <c r="Y172" s="6">
        <f t="shared" si="77"/>
        <v>18.672640299999998</v>
      </c>
      <c r="Z172" s="6">
        <f t="shared" si="77"/>
        <v>17.833752100000002</v>
      </c>
      <c r="AA172" s="6">
        <f t="shared" si="77"/>
        <v>17.749831199999999</v>
      </c>
      <c r="AB172" s="6">
        <f t="shared" si="77"/>
        <v>17.945418400000001</v>
      </c>
      <c r="AC172" s="6">
        <f t="shared" si="77"/>
        <v>18.397562400000002</v>
      </c>
      <c r="AD172" s="6">
        <f t="shared" si="77"/>
        <v>18.619524400000003</v>
      </c>
      <c r="AE172" s="6">
        <f t="shared" si="77"/>
        <v>19.533709999999999</v>
      </c>
      <c r="AF172" s="6">
        <f t="shared" si="77"/>
        <v>18.941718000000002</v>
      </c>
      <c r="AG172" s="6">
        <f t="shared" si="77"/>
        <v>19.592045200000001</v>
      </c>
      <c r="AH172" s="6">
        <f t="shared" si="77"/>
        <v>24.3555384</v>
      </c>
      <c r="AJ172">
        <f t="shared" si="58"/>
        <v>25.476380399999996</v>
      </c>
      <c r="AK172">
        <f t="shared" si="60"/>
        <v>7466.7</v>
      </c>
    </row>
  </sheetData>
  <phoneticPr fontId="0" type="noConversion"/>
  <pageMargins left="0.75" right="0.75" top="1" bottom="1" header="0.5" footer="0.5"/>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208"/>
  <sheetViews>
    <sheetView topLeftCell="R1" workbookViewId="0">
      <selection activeCell="Y15" sqref="Y15"/>
    </sheetView>
  </sheetViews>
  <sheetFormatPr defaultRowHeight="12.75" x14ac:dyDescent="0.2"/>
  <cols>
    <col min="1" max="1" width="31.5703125" customWidth="1"/>
    <col min="23" max="23" width="12.7109375" customWidth="1"/>
    <col min="24" max="24" width="12.85546875" customWidth="1"/>
    <col min="25" max="30" width="12.7109375" customWidth="1"/>
    <col min="31" max="36" width="9.28515625" bestFit="1" customWidth="1"/>
    <col min="37" max="41" width="9.5703125" bestFit="1" customWidth="1"/>
  </cols>
  <sheetData>
    <row r="1" spans="1:56" x14ac:dyDescent="0.2">
      <c r="A1" s="55" t="s">
        <v>237</v>
      </c>
      <c r="B1" s="53"/>
      <c r="C1" s="53"/>
      <c r="D1" s="53"/>
      <c r="E1" s="53"/>
      <c r="F1" s="53"/>
      <c r="G1" s="53"/>
      <c r="H1" s="53"/>
      <c r="I1" s="53"/>
      <c r="J1" s="53"/>
      <c r="K1" s="53"/>
      <c r="L1" s="53"/>
      <c r="M1" s="53"/>
      <c r="N1" s="53"/>
      <c r="O1" s="53"/>
      <c r="P1" s="53"/>
      <c r="Q1" s="53"/>
      <c r="R1" s="53"/>
      <c r="S1" s="53"/>
      <c r="T1" s="53"/>
    </row>
    <row r="2" spans="1:56" ht="13.5" thickBot="1" x14ac:dyDescent="0.25">
      <c r="A2" s="53"/>
      <c r="B2" s="53">
        <v>1976</v>
      </c>
      <c r="C2" s="53">
        <f>B2+1</f>
        <v>1977</v>
      </c>
      <c r="D2" s="53">
        <f t="shared" ref="D2:Q2" si="0">C2+1</f>
        <v>1978</v>
      </c>
      <c r="E2" s="53">
        <f t="shared" si="0"/>
        <v>1979</v>
      </c>
      <c r="F2" s="53">
        <f t="shared" si="0"/>
        <v>1980</v>
      </c>
      <c r="G2" s="53">
        <f t="shared" si="0"/>
        <v>1981</v>
      </c>
      <c r="H2" s="53">
        <f t="shared" si="0"/>
        <v>1982</v>
      </c>
      <c r="I2" s="53">
        <f t="shared" si="0"/>
        <v>1983</v>
      </c>
      <c r="J2" s="53">
        <f t="shared" si="0"/>
        <v>1984</v>
      </c>
      <c r="K2" s="53">
        <f t="shared" si="0"/>
        <v>1985</v>
      </c>
      <c r="L2" s="53">
        <f t="shared" si="0"/>
        <v>1986</v>
      </c>
      <c r="M2" s="53">
        <f t="shared" si="0"/>
        <v>1987</v>
      </c>
      <c r="N2" s="53">
        <f t="shared" si="0"/>
        <v>1988</v>
      </c>
      <c r="O2" s="53">
        <f t="shared" si="0"/>
        <v>1989</v>
      </c>
      <c r="P2" s="53">
        <f t="shared" si="0"/>
        <v>1990</v>
      </c>
      <c r="Q2" s="53">
        <f t="shared" si="0"/>
        <v>1991</v>
      </c>
      <c r="R2" s="53"/>
      <c r="S2" s="53" t="s">
        <v>2</v>
      </c>
      <c r="T2" s="53" t="s">
        <v>3</v>
      </c>
      <c r="V2" t="s">
        <v>31</v>
      </c>
      <c r="X2" s="1">
        <v>1970</v>
      </c>
      <c r="Y2" s="1">
        <v>1971</v>
      </c>
      <c r="Z2" s="1">
        <v>1972</v>
      </c>
      <c r="AA2" s="1">
        <v>1973</v>
      </c>
      <c r="AB2" s="1">
        <v>1974</v>
      </c>
      <c r="AC2" s="1">
        <v>1975</v>
      </c>
      <c r="AD2" s="1">
        <f t="shared" ref="AD2:AO2" si="1">B2</f>
        <v>1976</v>
      </c>
      <c r="AE2" s="1">
        <f t="shared" si="1"/>
        <v>1977</v>
      </c>
      <c r="AF2" s="1">
        <f t="shared" si="1"/>
        <v>1978</v>
      </c>
      <c r="AG2" s="1">
        <f t="shared" si="1"/>
        <v>1979</v>
      </c>
      <c r="AH2" s="1">
        <f t="shared" si="1"/>
        <v>1980</v>
      </c>
      <c r="AI2" s="1">
        <f t="shared" si="1"/>
        <v>1981</v>
      </c>
      <c r="AJ2" s="1">
        <f t="shared" si="1"/>
        <v>1982</v>
      </c>
      <c r="AK2" s="1">
        <f t="shared" si="1"/>
        <v>1983</v>
      </c>
      <c r="AL2" s="1">
        <f t="shared" si="1"/>
        <v>1984</v>
      </c>
      <c r="AM2" s="1">
        <f t="shared" si="1"/>
        <v>1985</v>
      </c>
      <c r="AN2" s="1">
        <f t="shared" si="1"/>
        <v>1986</v>
      </c>
      <c r="AO2" s="1">
        <f t="shared" si="1"/>
        <v>1987</v>
      </c>
      <c r="AQ2" t="s">
        <v>30</v>
      </c>
    </row>
    <row r="3" spans="1:56" x14ac:dyDescent="0.2">
      <c r="A3" s="54" t="s">
        <v>160</v>
      </c>
      <c r="B3" s="53">
        <v>103.5</v>
      </c>
      <c r="C3" s="53">
        <v>107.7</v>
      </c>
      <c r="D3" s="53">
        <v>119</v>
      </c>
      <c r="E3" s="53">
        <v>132</v>
      </c>
      <c r="F3" s="53">
        <v>128.6</v>
      </c>
      <c r="G3" s="53">
        <v>136.5</v>
      </c>
      <c r="H3" s="53">
        <v>115.9</v>
      </c>
      <c r="I3" s="53">
        <v>116.4</v>
      </c>
      <c r="J3" s="53">
        <v>111.5</v>
      </c>
      <c r="K3" s="53">
        <v>105.4</v>
      </c>
      <c r="L3" s="53">
        <v>6.8240000000000002E-3</v>
      </c>
      <c r="M3" s="53">
        <v>0</v>
      </c>
      <c r="N3" s="53">
        <v>0</v>
      </c>
      <c r="O3" s="53">
        <v>0</v>
      </c>
      <c r="P3" s="53">
        <v>0</v>
      </c>
      <c r="Q3" s="53">
        <v>0</v>
      </c>
      <c r="R3" s="53"/>
      <c r="S3" s="53">
        <v>1</v>
      </c>
      <c r="T3" s="53">
        <v>19</v>
      </c>
      <c r="V3" s="2" t="s">
        <v>12</v>
      </c>
      <c r="W3">
        <v>1</v>
      </c>
      <c r="X3">
        <f>ELECNEA!AU2</f>
        <v>118.012</v>
      </c>
      <c r="Y3">
        <f>ELECNEA!AV2</f>
        <v>118.377</v>
      </c>
      <c r="Z3">
        <f>ELECNEA!AW2</f>
        <v>120.59500000000001</v>
      </c>
      <c r="AA3">
        <f>ELECNEA!AX2</f>
        <v>125.497</v>
      </c>
      <c r="AB3">
        <f>ELECNEA!AY2</f>
        <v>129.32599999999999</v>
      </c>
      <c r="AC3">
        <f>ELECNEA!AZ2</f>
        <v>134.33099999999999</v>
      </c>
      <c r="AD3">
        <f>ELECNEA!BA2</f>
        <v>137.11600000000001</v>
      </c>
      <c r="AE3">
        <f>ELECNEA!BB2</f>
        <v>140.90299999999999</v>
      </c>
      <c r="AF3">
        <f>ELECNEA!BC2</f>
        <v>142.58099999999999</v>
      </c>
      <c r="AG3">
        <f>ELECNEA!BD2</f>
        <v>139.40300000000002</v>
      </c>
      <c r="AH3">
        <f>ELECNEA!BE2</f>
        <v>145.04899999999998</v>
      </c>
      <c r="AI3">
        <f>ELECNEA!BF2</f>
        <v>146.20400000000001</v>
      </c>
      <c r="AJ3">
        <f>ELECNEA!BG2</f>
        <v>161.75099999999998</v>
      </c>
      <c r="AK3">
        <f>ELECNEA!BH2</f>
        <v>154.989</v>
      </c>
      <c r="AL3">
        <f>ELECNEA!BI2</f>
        <v>159.596</v>
      </c>
      <c r="AM3">
        <f>ELECNEA!BJ2</f>
        <v>159.95499999999998</v>
      </c>
      <c r="AN3">
        <f>SUMIF($T3:$T77,"=1",L3:L77)</f>
        <v>162.70699999999999</v>
      </c>
      <c r="AO3">
        <f>SUMIF($T3:$T77,"=1",M3:M77)</f>
        <v>176.209</v>
      </c>
      <c r="AQ3">
        <f>[6]Asmt4!AE84</f>
        <v>175.813536</v>
      </c>
    </row>
    <row r="4" spans="1:56" x14ac:dyDescent="0.2">
      <c r="A4" s="54" t="s">
        <v>161</v>
      </c>
      <c r="B4" s="53">
        <v>3.88</v>
      </c>
      <c r="C4" s="53">
        <v>4.1669999999999998</v>
      </c>
      <c r="D4" s="53">
        <v>4.5869999999999997</v>
      </c>
      <c r="E4" s="53">
        <v>5.0179999999999998</v>
      </c>
      <c r="F4" s="53">
        <v>5.3920000000000003</v>
      </c>
      <c r="G4" s="53">
        <v>5.7210000000000001</v>
      </c>
      <c r="H4" s="53">
        <v>5.8550000000000004</v>
      </c>
      <c r="I4" s="53">
        <v>5.976</v>
      </c>
      <c r="J4" s="53">
        <v>6.0720000000000001</v>
      </c>
      <c r="K4" s="53">
        <v>6.1790000000000003</v>
      </c>
      <c r="L4" s="53">
        <v>6.8240000000000002E-3</v>
      </c>
      <c r="M4" s="53">
        <v>0</v>
      </c>
      <c r="N4" s="53">
        <v>0</v>
      </c>
      <c r="O4" s="53">
        <v>0</v>
      </c>
      <c r="P4" s="53">
        <v>0</v>
      </c>
      <c r="Q4" s="53">
        <v>0</v>
      </c>
      <c r="R4" s="53"/>
      <c r="S4" s="53">
        <f>S3+1</f>
        <v>2</v>
      </c>
      <c r="T4" s="53">
        <v>19</v>
      </c>
      <c r="V4" s="2" t="s">
        <v>13</v>
      </c>
      <c r="W4">
        <f>W3+1</f>
        <v>2</v>
      </c>
      <c r="X4">
        <f>ELECNEA!AU3</f>
        <v>84.37299999999999</v>
      </c>
      <c r="Y4">
        <f>ELECNEA!AV3</f>
        <v>88.457999999999998</v>
      </c>
      <c r="Z4">
        <f>ELECNEA!AW3</f>
        <v>96.656999999999996</v>
      </c>
      <c r="AA4">
        <f>ELECNEA!AX3</f>
        <v>100.96899999999999</v>
      </c>
      <c r="AB4">
        <f>ELECNEA!AY3</f>
        <v>93.606000000000009</v>
      </c>
      <c r="AC4">
        <f>ELECNEA!AZ3</f>
        <v>92.954999999999998</v>
      </c>
      <c r="AD4">
        <f>ELECNEA!BA3</f>
        <v>97.764999999999986</v>
      </c>
      <c r="AE4">
        <f>ELECNEA!BB3</f>
        <v>96.554999999999993</v>
      </c>
      <c r="AF4">
        <f>ELECNEA!BC3</f>
        <v>96.180999999999997</v>
      </c>
      <c r="AG4">
        <f>ELECNEA!BD3</f>
        <v>94.64800000000001</v>
      </c>
      <c r="AH4">
        <f>ELECNEA!BE3</f>
        <v>91.668000000000006</v>
      </c>
      <c r="AI4">
        <f>ELECNEA!BF3</f>
        <v>91.216999999999999</v>
      </c>
      <c r="AJ4">
        <f>ELECNEA!BG3</f>
        <v>85.969000000000008</v>
      </c>
      <c r="AK4">
        <f>ELECNEA!BH3</f>
        <v>93.38000000000001</v>
      </c>
      <c r="AL4">
        <f>ELECNEA!BI3</f>
        <v>95.377999999999986</v>
      </c>
      <c r="AM4">
        <f>ELECNEA!BJ3</f>
        <v>91.731999999999999</v>
      </c>
      <c r="AN4">
        <f>SUMIF($T$3:$T$77,"=2",L$3:L$77)</f>
        <v>94.828999999999994</v>
      </c>
      <c r="AO4">
        <f>SUMIF($T$3:$T$77,"=2",M$3:M$77)</f>
        <v>106.81699999999999</v>
      </c>
      <c r="AQ4">
        <f>[6]Asmt4!AE85</f>
        <v>100.9068292</v>
      </c>
    </row>
    <row r="5" spans="1:56" x14ac:dyDescent="0.2">
      <c r="A5" s="54" t="s">
        <v>162</v>
      </c>
      <c r="B5" s="53">
        <v>46.35</v>
      </c>
      <c r="C5" s="53">
        <v>42.61</v>
      </c>
      <c r="D5" s="53">
        <v>52.66</v>
      </c>
      <c r="E5" s="53">
        <v>57.03</v>
      </c>
      <c r="F5" s="53">
        <v>52.75</v>
      </c>
      <c r="G5" s="53">
        <v>58.38</v>
      </c>
      <c r="H5" s="53">
        <v>40.43</v>
      </c>
      <c r="I5" s="53">
        <v>42.63</v>
      </c>
      <c r="J5" s="53">
        <v>53.95</v>
      </c>
      <c r="K5" s="53">
        <v>54.82</v>
      </c>
      <c r="L5" s="53">
        <v>1.0240000000000001E-2</v>
      </c>
      <c r="M5" s="53">
        <v>0</v>
      </c>
      <c r="N5" s="53">
        <v>0</v>
      </c>
      <c r="O5" s="53">
        <v>0</v>
      </c>
      <c r="P5" s="53">
        <v>0</v>
      </c>
      <c r="Q5" s="53">
        <v>0</v>
      </c>
      <c r="R5" s="53"/>
      <c r="S5" s="53">
        <f t="shared" ref="S5:S68" si="2">S4+1</f>
        <v>3</v>
      </c>
      <c r="T5" s="53">
        <v>19</v>
      </c>
      <c r="V5" s="2" t="s">
        <v>14</v>
      </c>
      <c r="W5">
        <f t="shared" ref="W5:W20" si="3">W4+1</f>
        <v>3</v>
      </c>
      <c r="X5">
        <f>ELECNEA!AU4</f>
        <v>21.666</v>
      </c>
      <c r="Y5">
        <f>ELECNEA!AV4</f>
        <v>21.315000000000001</v>
      </c>
      <c r="Z5">
        <f>ELECNEA!AW4</f>
        <v>24.856000000000002</v>
      </c>
      <c r="AA5">
        <f>ELECNEA!AX4</f>
        <v>25.651</v>
      </c>
      <c r="AB5">
        <f>ELECNEA!AY4</f>
        <v>25.044000000000004</v>
      </c>
      <c r="AC5">
        <f>ELECNEA!AZ4</f>
        <v>26.220000000000002</v>
      </c>
      <c r="AD5">
        <f>ELECNEA!BA4</f>
        <v>26.064999999999998</v>
      </c>
      <c r="AE5">
        <f>ELECNEA!BB4</f>
        <v>25.074000000000002</v>
      </c>
      <c r="AF5">
        <f>ELECNEA!BC4</f>
        <v>23.367999999999999</v>
      </c>
      <c r="AG5">
        <f>ELECNEA!BD4</f>
        <v>20.452999999999999</v>
      </c>
      <c r="AH5">
        <f>ELECNEA!BE4</f>
        <v>21.411000000000001</v>
      </c>
      <c r="AI5">
        <f>ELECNEA!BF4</f>
        <v>21.231000000000002</v>
      </c>
      <c r="AJ5">
        <f>ELECNEA!BG4</f>
        <v>21.222000000000001</v>
      </c>
      <c r="AK5">
        <f>ELECNEA!BH4</f>
        <v>21.192</v>
      </c>
      <c r="AL5">
        <f>ELECNEA!BI4</f>
        <v>23.468999999999998</v>
      </c>
      <c r="AM5">
        <f>ELECNEA!BJ4</f>
        <v>19.818000000000001</v>
      </c>
      <c r="AN5">
        <f>SUMIF($T$3:$T$77,"=3",L$3:L$77)</f>
        <v>19.989100000000001</v>
      </c>
      <c r="AO5">
        <f>SUMIF($T$3:$T$77,"=3",M$3:M$77)</f>
        <v>20.238</v>
      </c>
      <c r="AQ5">
        <f>[6]Asmt4!AE86</f>
        <v>26.450506399999998</v>
      </c>
    </row>
    <row r="6" spans="1:56" x14ac:dyDescent="0.2">
      <c r="A6" s="54" t="s">
        <v>163</v>
      </c>
      <c r="B6" s="53">
        <v>34.18</v>
      </c>
      <c r="C6" s="53">
        <v>35.270000000000003</v>
      </c>
      <c r="D6" s="53">
        <v>35.14</v>
      </c>
      <c r="E6" s="53">
        <v>42.35</v>
      </c>
      <c r="F6" s="53">
        <v>46.47</v>
      </c>
      <c r="G6" s="53">
        <v>47.3</v>
      </c>
      <c r="H6" s="53">
        <v>50.21</v>
      </c>
      <c r="I6" s="53">
        <v>47.94</v>
      </c>
      <c r="J6" s="53">
        <v>55.22</v>
      </c>
      <c r="K6" s="53">
        <v>55.89</v>
      </c>
      <c r="L6" s="53">
        <v>6.8240000000000002E-3</v>
      </c>
      <c r="M6" s="53">
        <v>0</v>
      </c>
      <c r="N6" s="53">
        <v>0</v>
      </c>
      <c r="O6" s="53">
        <v>0</v>
      </c>
      <c r="P6" s="53">
        <v>0</v>
      </c>
      <c r="Q6" s="53">
        <v>0</v>
      </c>
      <c r="R6" s="53"/>
      <c r="S6" s="53">
        <f t="shared" si="2"/>
        <v>4</v>
      </c>
      <c r="T6" s="53">
        <v>19</v>
      </c>
      <c r="V6">
        <v>321</v>
      </c>
      <c r="W6">
        <f t="shared" si="3"/>
        <v>4</v>
      </c>
      <c r="X6">
        <f>ELECNEA!AU5</f>
        <v>35.766000000000005</v>
      </c>
      <c r="Y6">
        <f>ELECNEA!AV5</f>
        <v>39.689</v>
      </c>
      <c r="Z6">
        <f>ELECNEA!AW5</f>
        <v>46.337000000000003</v>
      </c>
      <c r="AA6">
        <f>ELECNEA!AX5</f>
        <v>46.591999999999999</v>
      </c>
      <c r="AB6">
        <f>ELECNEA!AY5</f>
        <v>50.767000000000003</v>
      </c>
      <c r="AC6">
        <f>ELECNEA!AZ5</f>
        <v>49.445999999999998</v>
      </c>
      <c r="AD6">
        <f>ELECNEA!BA5</f>
        <v>53.167000000000002</v>
      </c>
      <c r="AE6">
        <f>ELECNEA!BB5</f>
        <v>55.122</v>
      </c>
      <c r="AF6">
        <f>ELECNEA!BC5</f>
        <v>56.872</v>
      </c>
      <c r="AG6">
        <f>ELECNEA!BD5</f>
        <v>54.815999999999995</v>
      </c>
      <c r="AH6">
        <f>ELECNEA!BE5</f>
        <v>50.045000000000002</v>
      </c>
      <c r="AI6">
        <f>ELECNEA!BF5</f>
        <v>49.568999999999996</v>
      </c>
      <c r="AJ6">
        <f>ELECNEA!BG5</f>
        <v>49.874000000000002</v>
      </c>
      <c r="AK6">
        <f>ELECNEA!BH5</f>
        <v>52.704999999999998</v>
      </c>
      <c r="AL6">
        <f>ELECNEA!BI5</f>
        <v>57.091000000000001</v>
      </c>
      <c r="AM6">
        <f>ELECNEA!BJ5</f>
        <v>57.204000000000001</v>
      </c>
      <c r="AN6">
        <f>SUMIF($T$3:$T$77,"=4",L$3:L$77)</f>
        <v>60.599600000000002</v>
      </c>
      <c r="AO6">
        <f>SUMIF($T$3:$T$77,"=4",M$3:M$77)</f>
        <v>70.844999999999999</v>
      </c>
      <c r="AQ6">
        <f>[6]Asmt4!AE87</f>
        <v>68.653875599999992</v>
      </c>
    </row>
    <row r="7" spans="1:56" x14ac:dyDescent="0.2">
      <c r="A7" s="54" t="s">
        <v>164</v>
      </c>
      <c r="B7" s="53">
        <v>60.35</v>
      </c>
      <c r="C7" s="53">
        <v>65.62</v>
      </c>
      <c r="D7" s="53">
        <v>76.89</v>
      </c>
      <c r="E7" s="53">
        <v>84.05</v>
      </c>
      <c r="F7" s="53">
        <v>92.37</v>
      </c>
      <c r="G7" s="53">
        <v>99.72</v>
      </c>
      <c r="H7" s="53">
        <v>106.4</v>
      </c>
      <c r="I7" s="53">
        <v>113.4</v>
      </c>
      <c r="J7" s="53">
        <v>118</v>
      </c>
      <c r="K7" s="53">
        <v>122.4</v>
      </c>
      <c r="L7" s="53">
        <v>1.0240000000000001E-2</v>
      </c>
      <c r="M7" s="53">
        <v>0</v>
      </c>
      <c r="N7" s="53">
        <v>0</v>
      </c>
      <c r="O7" s="53">
        <v>0</v>
      </c>
      <c r="P7" s="53">
        <v>0</v>
      </c>
      <c r="Q7" s="53">
        <v>0</v>
      </c>
      <c r="R7" s="53"/>
      <c r="S7" s="53">
        <f t="shared" si="2"/>
        <v>5</v>
      </c>
      <c r="T7" s="53">
        <v>19</v>
      </c>
      <c r="V7">
        <v>322</v>
      </c>
      <c r="W7">
        <f t="shared" si="3"/>
        <v>5</v>
      </c>
      <c r="X7">
        <f>ELECNEA!AU6</f>
        <v>112.87</v>
      </c>
      <c r="Y7">
        <f>ELECNEA!AV6</f>
        <v>119.11399999999999</v>
      </c>
      <c r="Z7">
        <f>ELECNEA!AW6</f>
        <v>125.52799999999999</v>
      </c>
      <c r="AA7">
        <f>ELECNEA!AX6</f>
        <v>129.98500000000001</v>
      </c>
      <c r="AB7">
        <f>ELECNEA!AY6</f>
        <v>139.44900000000001</v>
      </c>
      <c r="AC7">
        <f>ELECNEA!AZ6</f>
        <v>133.482</v>
      </c>
      <c r="AD7">
        <f>ELECNEA!BA6</f>
        <v>148.279</v>
      </c>
      <c r="AE7">
        <f>ELECNEA!BB6</f>
        <v>152.04</v>
      </c>
      <c r="AF7">
        <f>ELECNEA!BC6</f>
        <v>155.625</v>
      </c>
      <c r="AG7">
        <f>ELECNEA!BD6</f>
        <v>157.50199999999998</v>
      </c>
      <c r="AH7">
        <f>ELECNEA!BE6</f>
        <v>169.52399999999997</v>
      </c>
      <c r="AI7">
        <f>ELECNEA!BF6</f>
        <v>178.10300000000001</v>
      </c>
      <c r="AJ7">
        <f>ELECNEA!BG6</f>
        <v>172.44199999999998</v>
      </c>
      <c r="AK7">
        <f>ELECNEA!BH6</f>
        <v>176.792</v>
      </c>
      <c r="AL7">
        <f>ELECNEA!BI6</f>
        <v>182.90299999999999</v>
      </c>
      <c r="AM7">
        <f>ELECNEA!BJ6</f>
        <v>179.64299999999997</v>
      </c>
      <c r="AN7">
        <f>SUMIF($T$3:$T$77,"=5",L$3:L$77)</f>
        <v>188.59</v>
      </c>
      <c r="AO7">
        <f>SUMIF($T$3:$T$77,"=5",M$3:M$77)</f>
        <v>197.42</v>
      </c>
      <c r="AQ7">
        <f>[6]Asmt4!AE88</f>
        <v>202.15281119999997</v>
      </c>
    </row>
    <row r="8" spans="1:56" x14ac:dyDescent="0.2">
      <c r="A8" s="54" t="s">
        <v>165</v>
      </c>
      <c r="B8" s="53">
        <v>31.45</v>
      </c>
      <c r="C8" s="53">
        <v>33.99</v>
      </c>
      <c r="D8" s="53">
        <v>38.14</v>
      </c>
      <c r="E8" s="53">
        <v>42.08</v>
      </c>
      <c r="F8" s="53">
        <v>40.33</v>
      </c>
      <c r="G8" s="53">
        <v>38.549999999999997</v>
      </c>
      <c r="H8" s="53">
        <v>33.68</v>
      </c>
      <c r="I8" s="53">
        <v>37.99</v>
      </c>
      <c r="J8" s="53">
        <v>38.14</v>
      </c>
      <c r="K8" s="53">
        <v>39.47</v>
      </c>
      <c r="L8" s="53">
        <v>6.8240000000000002E-3</v>
      </c>
      <c r="M8" s="53">
        <v>0</v>
      </c>
      <c r="N8" s="53">
        <v>0</v>
      </c>
      <c r="O8" s="53">
        <v>0</v>
      </c>
      <c r="P8" s="53">
        <v>0</v>
      </c>
      <c r="Q8" s="53">
        <v>0</v>
      </c>
      <c r="R8" s="53"/>
      <c r="S8" s="53">
        <f t="shared" si="2"/>
        <v>6</v>
      </c>
      <c r="T8" s="53">
        <v>19</v>
      </c>
      <c r="V8">
        <v>323</v>
      </c>
      <c r="W8">
        <f t="shared" si="3"/>
        <v>6</v>
      </c>
      <c r="X8">
        <f>ELECNEA!AU7</f>
        <v>31.045999999999999</v>
      </c>
      <c r="Y8">
        <f>ELECNEA!AV7</f>
        <v>30.951000000000001</v>
      </c>
      <c r="Z8">
        <f>ELECNEA!AW7</f>
        <v>31.254000000000001</v>
      </c>
      <c r="AA8">
        <f>ELECNEA!AX7</f>
        <v>33.393999999999998</v>
      </c>
      <c r="AB8">
        <f>ELECNEA!AY7</f>
        <v>30.684000000000001</v>
      </c>
      <c r="AC8">
        <f>ELECNEA!AZ7</f>
        <v>33.898000000000003</v>
      </c>
      <c r="AD8">
        <f>ELECNEA!BA7</f>
        <v>34.54</v>
      </c>
      <c r="AE8">
        <f>ELECNEA!BB7</f>
        <v>36.011000000000003</v>
      </c>
      <c r="AF8">
        <f>ELECNEA!BC7</f>
        <v>35.299999999999997</v>
      </c>
      <c r="AG8">
        <f>ELECNEA!BD7</f>
        <v>32.374000000000002</v>
      </c>
      <c r="AH8">
        <f>ELECNEA!BE7</f>
        <v>32.944000000000003</v>
      </c>
      <c r="AI8">
        <f>ELECNEA!BF7</f>
        <v>35.151000000000003</v>
      </c>
      <c r="AJ8">
        <f>ELECNEA!BG7</f>
        <v>36.296999999999997</v>
      </c>
      <c r="AK8">
        <f>ELECNEA!BH7</f>
        <v>36.463999999999999</v>
      </c>
      <c r="AL8">
        <f>ELECNEA!BI7</f>
        <v>42.9</v>
      </c>
      <c r="AM8">
        <f>ELECNEA!BJ7</f>
        <v>42.25</v>
      </c>
      <c r="AN8">
        <f>SUMIF($T$3:$T$77,"=6",L$3:L$77)</f>
        <v>45.05</v>
      </c>
      <c r="AO8">
        <f>SUMIF($T$3:$T$77,"=6",M$3:M$77)</f>
        <v>51.21</v>
      </c>
      <c r="AQ8">
        <f>[6]Asmt4!AE89</f>
        <v>38.495548799999995</v>
      </c>
    </row>
    <row r="9" spans="1:56" x14ac:dyDescent="0.2">
      <c r="A9" s="54" t="s">
        <v>166</v>
      </c>
      <c r="B9" s="53">
        <v>43.27</v>
      </c>
      <c r="C9" s="53">
        <v>44.81</v>
      </c>
      <c r="D9" s="53">
        <v>50.86</v>
      </c>
      <c r="E9" s="53">
        <v>53.38</v>
      </c>
      <c r="F9" s="53">
        <v>53</v>
      </c>
      <c r="G9" s="53">
        <v>56.68</v>
      </c>
      <c r="H9" s="53">
        <v>55.09</v>
      </c>
      <c r="I9" s="53">
        <v>61.39</v>
      </c>
      <c r="J9" s="53">
        <v>73.319999999999993</v>
      </c>
      <c r="K9" s="53">
        <v>77.94</v>
      </c>
      <c r="L9" s="53">
        <v>1.0240000000000001E-2</v>
      </c>
      <c r="M9" s="53">
        <v>0</v>
      </c>
      <c r="N9" s="53">
        <v>0</v>
      </c>
      <c r="O9" s="53">
        <v>0</v>
      </c>
      <c r="P9" s="53">
        <v>0</v>
      </c>
      <c r="Q9" s="53">
        <v>0</v>
      </c>
      <c r="R9" s="53"/>
      <c r="S9" s="53">
        <f t="shared" si="2"/>
        <v>7</v>
      </c>
      <c r="T9" s="53">
        <v>19</v>
      </c>
      <c r="V9">
        <v>324</v>
      </c>
      <c r="W9">
        <f t="shared" si="3"/>
        <v>7</v>
      </c>
      <c r="X9">
        <f>ELECNEA!AU8</f>
        <v>74.986000000000004</v>
      </c>
      <c r="Y9">
        <f>ELECNEA!AV8</f>
        <v>80.489000000000004</v>
      </c>
      <c r="Z9">
        <f>ELECNEA!AW8</f>
        <v>84.679000000000002</v>
      </c>
      <c r="AA9">
        <f>ELECNEA!AX8</f>
        <v>88.725999999999999</v>
      </c>
      <c r="AB9">
        <f>ELECNEA!AY8</f>
        <v>92.944000000000003</v>
      </c>
      <c r="AC9">
        <f>ELECNEA!AZ8</f>
        <v>90.073999999999998</v>
      </c>
      <c r="AD9">
        <f>ELECNEA!BA8</f>
        <v>94.558000000000007</v>
      </c>
      <c r="AE9">
        <f>ELECNEA!BB8</f>
        <v>102.883</v>
      </c>
      <c r="AF9">
        <f>ELECNEA!BC8</f>
        <v>103.254</v>
      </c>
      <c r="AG9">
        <f>ELECNEA!BD8</f>
        <v>107.718</v>
      </c>
      <c r="AH9">
        <f>ELECNEA!BE8</f>
        <v>109.90799999999999</v>
      </c>
      <c r="AI9">
        <f>ELECNEA!BF8</f>
        <v>111.048</v>
      </c>
      <c r="AJ9">
        <f>ELECNEA!BG8</f>
        <v>116.64</v>
      </c>
      <c r="AK9">
        <f>ELECNEA!BH8</f>
        <v>114.111</v>
      </c>
      <c r="AL9">
        <f>ELECNEA!BI8</f>
        <v>118.72799999999999</v>
      </c>
      <c r="AM9">
        <f>ELECNEA!BJ8</f>
        <v>119.25</v>
      </c>
      <c r="AN9">
        <f>SUMIF($T$3:$T$77,"=7",L$3:L$77)</f>
        <v>125.74100000000001</v>
      </c>
      <c r="AO9">
        <f>SUMIF($T$3:$T$77,"=7",M$3:M$77)</f>
        <v>113.536</v>
      </c>
      <c r="AQ9">
        <f>[6]Asmt4!AE90</f>
        <v>114.11706959999999</v>
      </c>
    </row>
    <row r="10" spans="1:56" x14ac:dyDescent="0.2">
      <c r="A10" s="54" t="s">
        <v>167</v>
      </c>
      <c r="B10" s="53">
        <v>0.96599999999999997</v>
      </c>
      <c r="C10" s="53">
        <v>1.0209999999999999</v>
      </c>
      <c r="D10" s="53">
        <v>1.0449999999999999</v>
      </c>
      <c r="E10" s="53">
        <v>0.82399999999999995</v>
      </c>
      <c r="F10" s="53">
        <v>0.77500000000000002</v>
      </c>
      <c r="G10" s="53">
        <v>0.76</v>
      </c>
      <c r="H10" s="53">
        <v>0.81599999999999995</v>
      </c>
      <c r="I10" s="53">
        <v>0.98199999999999998</v>
      </c>
      <c r="J10" s="53">
        <v>0.93799999999999994</v>
      </c>
      <c r="K10" s="53">
        <v>0.94799999999999995</v>
      </c>
      <c r="L10" s="53">
        <v>0.89</v>
      </c>
      <c r="M10" s="53">
        <v>1.0960000000000001</v>
      </c>
      <c r="N10" s="53">
        <v>1.1020000000000001</v>
      </c>
      <c r="O10" s="53">
        <v>1.101</v>
      </c>
      <c r="P10" s="53">
        <v>1.036</v>
      </c>
      <c r="Q10" s="53">
        <v>1.0069999999999999</v>
      </c>
      <c r="R10" s="53"/>
      <c r="S10" s="53">
        <f t="shared" si="2"/>
        <v>8</v>
      </c>
      <c r="T10" s="53">
        <v>4</v>
      </c>
      <c r="V10">
        <v>325</v>
      </c>
      <c r="W10">
        <f t="shared" si="3"/>
        <v>8</v>
      </c>
      <c r="X10">
        <f>ELECNEA!AU9</f>
        <v>302.95900000000006</v>
      </c>
      <c r="Y10">
        <f>ELECNEA!AV9</f>
        <v>334.37799999999999</v>
      </c>
      <c r="Z10">
        <f>ELECNEA!AW9</f>
        <v>383.20000000000005</v>
      </c>
      <c r="AA10">
        <f>ELECNEA!AX9</f>
        <v>409.428</v>
      </c>
      <c r="AB10">
        <f>ELECNEA!AY9</f>
        <v>410.21499999999997</v>
      </c>
      <c r="AC10">
        <f>ELECNEA!AZ9</f>
        <v>414.42500000000007</v>
      </c>
      <c r="AD10">
        <f>ELECNEA!BA9</f>
        <v>471.72199999999998</v>
      </c>
      <c r="AE10">
        <f>ELECNEA!BB9</f>
        <v>485.14700000000005</v>
      </c>
      <c r="AF10">
        <f>ELECNEA!BC9</f>
        <v>478.25100000000003</v>
      </c>
      <c r="AG10">
        <f>ELECNEA!BD9</f>
        <v>478.37899999999996</v>
      </c>
      <c r="AH10">
        <f>ELECNEA!BE9</f>
        <v>438.97400000000005</v>
      </c>
      <c r="AI10">
        <f>ELECNEA!BF9</f>
        <v>436.78099999999995</v>
      </c>
      <c r="AJ10">
        <f>ELECNEA!BG9</f>
        <v>398.42</v>
      </c>
      <c r="AK10">
        <f>ELECNEA!BH9</f>
        <v>422.34299999999996</v>
      </c>
      <c r="AL10">
        <f>ELECNEA!BI9</f>
        <v>454.23599999999993</v>
      </c>
      <c r="AM10">
        <f>ELECNEA!BJ9</f>
        <v>427.69</v>
      </c>
      <c r="AN10">
        <f>SUMIF($T$3:$T$77,"=8",L$3:L$77)</f>
        <v>407.755</v>
      </c>
      <c r="AO10">
        <f>SUMIF($T$3:$T$77,"=8",M$3:M$77)</f>
        <v>423.6230000000001</v>
      </c>
      <c r="AQ10">
        <f>[6]Asmt4!AE91</f>
        <v>427.02851879999997</v>
      </c>
    </row>
    <row r="11" spans="1:56" x14ac:dyDescent="0.2">
      <c r="A11" s="54" t="s">
        <v>169</v>
      </c>
      <c r="B11" s="53">
        <v>0.45400000000000001</v>
      </c>
      <c r="C11" s="53">
        <v>0.51900000000000002</v>
      </c>
      <c r="D11" s="53">
        <v>0.498</v>
      </c>
      <c r="E11" s="53">
        <v>0.439</v>
      </c>
      <c r="F11" s="53">
        <v>0.435</v>
      </c>
      <c r="G11" s="53">
        <v>0.38200000000000001</v>
      </c>
      <c r="H11" s="53">
        <v>0.42899999999999999</v>
      </c>
      <c r="I11" s="53">
        <v>0.42099999999999999</v>
      </c>
      <c r="J11" s="53">
        <v>0.40899999999999997</v>
      </c>
      <c r="K11" s="53">
        <v>0.38200000000000001</v>
      </c>
      <c r="L11" s="53">
        <v>0.41959999999999997</v>
      </c>
      <c r="M11" s="53">
        <v>0.59899999999999998</v>
      </c>
      <c r="N11" s="53">
        <v>0.57299999999999995</v>
      </c>
      <c r="O11" s="53">
        <v>0.52959999999999996</v>
      </c>
      <c r="P11" s="53">
        <v>0.53949999999999998</v>
      </c>
      <c r="Q11" s="53">
        <v>0.51939999999999997</v>
      </c>
      <c r="R11" s="53"/>
      <c r="S11" s="53">
        <f t="shared" si="2"/>
        <v>9</v>
      </c>
      <c r="T11" s="53">
        <v>4</v>
      </c>
      <c r="V11">
        <v>326</v>
      </c>
      <c r="W11">
        <f t="shared" si="3"/>
        <v>9</v>
      </c>
      <c r="X11">
        <f>ELECNEA!AU10</f>
        <v>50.732999999999997</v>
      </c>
      <c r="Y11">
        <f>ELECNEA!AV10</f>
        <v>55.055999999999997</v>
      </c>
      <c r="Z11">
        <f>ELECNEA!AW10</f>
        <v>61.726999999999997</v>
      </c>
      <c r="AA11">
        <f>ELECNEA!AX10</f>
        <v>68.227000000000004</v>
      </c>
      <c r="AB11">
        <f>ELECNEA!AY10</f>
        <v>64.739999999999995</v>
      </c>
      <c r="AC11">
        <f>ELECNEA!AZ10</f>
        <v>64.122</v>
      </c>
      <c r="AD11">
        <f>ELECNEA!BA10</f>
        <v>67.387</v>
      </c>
      <c r="AE11">
        <f>ELECNEA!BB10</f>
        <v>76.965000000000003</v>
      </c>
      <c r="AF11">
        <f>ELECNEA!BC10</f>
        <v>78.375</v>
      </c>
      <c r="AG11">
        <f>ELECNEA!BD10</f>
        <v>77.924999999999997</v>
      </c>
      <c r="AH11">
        <f>ELECNEA!BE10</f>
        <v>73.906999999999996</v>
      </c>
      <c r="AI11">
        <f>ELECNEA!BF10</f>
        <v>78.180000000000007</v>
      </c>
      <c r="AJ11">
        <f>ELECNEA!BG10</f>
        <v>105.07899999999999</v>
      </c>
      <c r="AK11">
        <f>ELECNEA!BH10</f>
        <v>109.32</v>
      </c>
      <c r="AL11">
        <f>ELECNEA!BI10</f>
        <v>100.827</v>
      </c>
      <c r="AM11">
        <f>ELECNEA!BJ10</f>
        <v>102.71</v>
      </c>
      <c r="AN11">
        <f>SUMIF($T$3:$T$77,"=9",L$3:L$77)</f>
        <v>106.5</v>
      </c>
      <c r="AO11">
        <f>SUMIF($T$3:$T$77,"=9",M$3:M$77)</f>
        <v>112.9</v>
      </c>
      <c r="AQ11">
        <f>[6]Asmt4!AE92</f>
        <v>108.93594759999999</v>
      </c>
      <c r="AW11">
        <v>1987</v>
      </c>
      <c r="BA11" t="s">
        <v>22</v>
      </c>
    </row>
    <row r="12" spans="1:56" x14ac:dyDescent="0.2">
      <c r="A12" s="54" t="s">
        <v>168</v>
      </c>
      <c r="B12" s="53">
        <v>51.75</v>
      </c>
      <c r="C12" s="53">
        <v>53.58</v>
      </c>
      <c r="D12" s="53">
        <v>55.33</v>
      </c>
      <c r="E12" s="53">
        <v>53.55</v>
      </c>
      <c r="F12" s="53">
        <v>48.84</v>
      </c>
      <c r="G12" s="53">
        <v>48.43</v>
      </c>
      <c r="H12" s="53">
        <v>48.63</v>
      </c>
      <c r="I12" s="53">
        <v>51.3</v>
      </c>
      <c r="J12" s="53">
        <v>55.74</v>
      </c>
      <c r="K12" s="53">
        <v>55.87</v>
      </c>
      <c r="L12" s="53">
        <v>59.29</v>
      </c>
      <c r="M12" s="53">
        <v>69.150000000000006</v>
      </c>
      <c r="N12" s="53">
        <v>71.92</v>
      </c>
      <c r="O12" s="53">
        <v>70.510000000000005</v>
      </c>
      <c r="P12" s="53">
        <v>70.63</v>
      </c>
      <c r="Q12" s="53">
        <v>68.64</v>
      </c>
      <c r="R12" s="53"/>
      <c r="S12" s="53">
        <f t="shared" si="2"/>
        <v>10</v>
      </c>
      <c r="T12" s="53">
        <v>4</v>
      </c>
      <c r="V12">
        <v>327</v>
      </c>
      <c r="W12">
        <f t="shared" si="3"/>
        <v>10</v>
      </c>
      <c r="X12">
        <f>ELECNEA!AU11</f>
        <v>82.947000000000003</v>
      </c>
      <c r="Y12">
        <f>ELECNEA!AV11</f>
        <v>85.207999999999998</v>
      </c>
      <c r="Z12">
        <f>ELECNEA!AW11</f>
        <v>92.849000000000004</v>
      </c>
      <c r="AA12">
        <f>ELECNEA!AX11</f>
        <v>97.75800000000001</v>
      </c>
      <c r="AB12">
        <f>ELECNEA!AY11</f>
        <v>98.996000000000009</v>
      </c>
      <c r="AC12">
        <f>ELECNEA!AZ11</f>
        <v>94.850999999999999</v>
      </c>
      <c r="AD12">
        <f>ELECNEA!BA11</f>
        <v>99.754000000000005</v>
      </c>
      <c r="AE12">
        <f>ELECNEA!BB11</f>
        <v>105.51599999999999</v>
      </c>
      <c r="AF12">
        <f>ELECNEA!BC11</f>
        <v>111.75700000000001</v>
      </c>
      <c r="AG12">
        <f>ELECNEA!BD11</f>
        <v>112.547</v>
      </c>
      <c r="AH12">
        <f>ELECNEA!BE11</f>
        <v>104.08500000000001</v>
      </c>
      <c r="AI12">
        <f>ELECNEA!BF11</f>
        <v>102.73099999999999</v>
      </c>
      <c r="AJ12">
        <f>ELECNEA!BG11</f>
        <v>95.10499999999999</v>
      </c>
      <c r="AK12">
        <f>ELECNEA!BH11</f>
        <v>95.356999999999999</v>
      </c>
      <c r="AL12">
        <f>ELECNEA!BI11</f>
        <v>102.50700000000001</v>
      </c>
      <c r="AM12">
        <f>ELECNEA!BJ11</f>
        <v>112.471</v>
      </c>
      <c r="AN12">
        <f>SUMIF($T$3:$T$77,"=10",L$3:L$77)</f>
        <v>116.63</v>
      </c>
      <c r="AO12">
        <f>SUMIF($T$3:$T$77,"=10",M$3:M$77)</f>
        <v>122.97</v>
      </c>
      <c r="AQ12">
        <f>[6]Asmt4!AE93</f>
        <v>113.86799359999999</v>
      </c>
      <c r="AS12">
        <f>8917+9404.4+12195.4</f>
        <v>30516.800000000003</v>
      </c>
      <c r="AT12">
        <f>3.412*AS12*0.001</f>
        <v>104.12332160000001</v>
      </c>
      <c r="AW12">
        <f>(9997.5+9700.7+13612.9)</f>
        <v>33311.1</v>
      </c>
      <c r="AX12">
        <f>3.412*AW12*0.001</f>
        <v>113.6574732</v>
      </c>
      <c r="BA12">
        <f>30.425+32.088+49.958</f>
        <v>112.471</v>
      </c>
      <c r="BC12">
        <f>32963.5</f>
        <v>32963.5</v>
      </c>
      <c r="BD12">
        <f>3.412*BC12*0.001</f>
        <v>112.471462</v>
      </c>
    </row>
    <row r="13" spans="1:56" x14ac:dyDescent="0.2">
      <c r="A13" s="54" t="s">
        <v>170</v>
      </c>
      <c r="B13" s="53">
        <v>9.1199999999999992</v>
      </c>
      <c r="C13" s="53">
        <v>9.5640000000000001</v>
      </c>
      <c r="D13" s="53">
        <v>9.59</v>
      </c>
      <c r="E13" s="53">
        <v>9.1080000000000005</v>
      </c>
      <c r="F13" s="53">
        <v>8.8650000000000002</v>
      </c>
      <c r="G13" s="53">
        <v>8.6660000000000004</v>
      </c>
      <c r="H13" s="53">
        <v>8.4320000000000004</v>
      </c>
      <c r="I13" s="53">
        <v>8.5</v>
      </c>
      <c r="J13" s="53">
        <v>8.7940000000000005</v>
      </c>
      <c r="K13" s="53">
        <v>8.6389999999999993</v>
      </c>
      <c r="L13" s="53">
        <v>9.0939999999999994</v>
      </c>
      <c r="M13" s="53">
        <v>10.89</v>
      </c>
      <c r="N13" s="53">
        <v>13.02</v>
      </c>
      <c r="O13" s="53">
        <v>12.27</v>
      </c>
      <c r="P13" s="53">
        <v>11.35</v>
      </c>
      <c r="Q13" s="53">
        <v>11.11</v>
      </c>
      <c r="R13" s="53"/>
      <c r="S13" s="53">
        <f t="shared" si="2"/>
        <v>11</v>
      </c>
      <c r="T13" s="53">
        <v>17</v>
      </c>
      <c r="V13">
        <v>331</v>
      </c>
      <c r="W13">
        <f t="shared" si="3"/>
        <v>11</v>
      </c>
      <c r="X13">
        <f>ELECNEA!AU12</f>
        <v>438.10699999999997</v>
      </c>
      <c r="Y13">
        <f>ELECNEA!AV12</f>
        <v>422.35500000000002</v>
      </c>
      <c r="Z13">
        <f>ELECNEA!AW12</f>
        <v>451.74899999999997</v>
      </c>
      <c r="AA13">
        <f>ELECNEA!AX12</f>
        <v>531.92399999999998</v>
      </c>
      <c r="AB13">
        <f>ELECNEA!AY12</f>
        <v>578.28399999999999</v>
      </c>
      <c r="AC13">
        <f>ELECNEA!AZ12</f>
        <v>490</v>
      </c>
      <c r="AD13">
        <f>ELECNEA!BA12</f>
        <v>527.28300000000002</v>
      </c>
      <c r="AE13">
        <f>ELECNEA!BB12</f>
        <v>561.72199999999998</v>
      </c>
      <c r="AF13">
        <f>ELECNEA!BC12</f>
        <v>586.50800000000004</v>
      </c>
      <c r="AG13">
        <f>ELECNEA!BD12</f>
        <v>610.57499999999993</v>
      </c>
      <c r="AH13">
        <f>ELECNEA!BE12</f>
        <v>575.89199999999994</v>
      </c>
      <c r="AI13">
        <f>ELECNEA!BF12</f>
        <v>581.00900000000001</v>
      </c>
      <c r="AJ13">
        <f>ELECNEA!BG12</f>
        <v>420.41399999999999</v>
      </c>
      <c r="AK13">
        <f>ELECNEA!BH12</f>
        <v>410.464</v>
      </c>
      <c r="AL13">
        <f>ELECNEA!BI12</f>
        <v>490.024</v>
      </c>
      <c r="AM13">
        <f>ELECNEA!BJ12</f>
        <v>454.03100000000001</v>
      </c>
      <c r="AN13">
        <f>SUMIF($T$3:$T$77,"=11",L$3:L$77)</f>
        <v>427.77</v>
      </c>
      <c r="AO13">
        <f>SUMIF($T$3:$T$77,"=11",M$3:M$77)</f>
        <v>445.62</v>
      </c>
      <c r="AQ13">
        <f>[6]Asmt4!AE94</f>
        <v>445.69898280000001</v>
      </c>
    </row>
    <row r="14" spans="1:56" x14ac:dyDescent="0.2">
      <c r="A14" s="54" t="s">
        <v>171</v>
      </c>
      <c r="B14" s="53">
        <v>4.4219999999999997</v>
      </c>
      <c r="C14" s="53">
        <v>4.7329999999999997</v>
      </c>
      <c r="D14" s="53">
        <v>4.9279999999999999</v>
      </c>
      <c r="E14" s="53">
        <v>4.6520000000000001</v>
      </c>
      <c r="F14" s="53">
        <v>4.6180000000000003</v>
      </c>
      <c r="G14" s="53">
        <v>5.4710000000000001</v>
      </c>
      <c r="H14" s="53">
        <v>5.2149999999999999</v>
      </c>
      <c r="I14" s="53">
        <v>6.0609999999999999</v>
      </c>
      <c r="J14" s="53">
        <v>6.72</v>
      </c>
      <c r="K14" s="53">
        <v>6.6289999999999996</v>
      </c>
      <c r="L14" s="53">
        <v>6.867</v>
      </c>
      <c r="M14" s="53">
        <v>8.6020000000000003</v>
      </c>
      <c r="N14" s="53">
        <v>9.0690000000000008</v>
      </c>
      <c r="O14" s="53">
        <v>9.2110000000000003</v>
      </c>
      <c r="P14" s="53">
        <v>8.9979999999999993</v>
      </c>
      <c r="Q14" s="53">
        <v>8.7349999999999994</v>
      </c>
      <c r="R14" s="53"/>
      <c r="S14" s="53">
        <f t="shared" si="2"/>
        <v>12</v>
      </c>
      <c r="T14" s="53">
        <v>17</v>
      </c>
      <c r="V14">
        <v>332</v>
      </c>
      <c r="W14">
        <f t="shared" si="3"/>
        <v>12</v>
      </c>
      <c r="X14">
        <f>ELECNEA!AU13</f>
        <v>81.025999999999996</v>
      </c>
      <c r="Y14">
        <f>ELECNEA!AV13</f>
        <v>78.26400000000001</v>
      </c>
      <c r="Z14">
        <f>ELECNEA!AW13</f>
        <v>82.197000000000003</v>
      </c>
      <c r="AA14">
        <f>ELECNEA!AX13</f>
        <v>87.38900000000001</v>
      </c>
      <c r="AB14">
        <f>ELECNEA!AY13</f>
        <v>85.45</v>
      </c>
      <c r="AC14">
        <f>ELECNEA!AZ13</f>
        <v>83.230999999999995</v>
      </c>
      <c r="AD14">
        <f>ELECNEA!BA13</f>
        <v>87.807000000000002</v>
      </c>
      <c r="AE14">
        <f>ELECNEA!BB13</f>
        <v>89.830000000000013</v>
      </c>
      <c r="AF14">
        <f>ELECNEA!BC13</f>
        <v>89.97</v>
      </c>
      <c r="AG14">
        <f>ELECNEA!BD13</f>
        <v>89.721000000000004</v>
      </c>
      <c r="AH14">
        <f>ELECNEA!BE13</f>
        <v>86.391000000000005</v>
      </c>
      <c r="AI14">
        <f>ELECNEA!BF13</f>
        <v>87.13900000000001</v>
      </c>
      <c r="AJ14">
        <f>ELECNEA!BG13</f>
        <v>87.114000000000004</v>
      </c>
      <c r="AK14">
        <f>ELECNEA!BH13</f>
        <v>84.733000000000004</v>
      </c>
      <c r="AL14">
        <f>ELECNEA!BI13</f>
        <v>103.63499999999999</v>
      </c>
      <c r="AM14">
        <f>ELECNEA!BJ13</f>
        <v>95.448999999999998</v>
      </c>
      <c r="AN14">
        <f>SUMIF($T$3:$T$77,"=12",L$3:L$77)</f>
        <v>93.283000000000015</v>
      </c>
      <c r="AO14">
        <f>SUMIF($T$3:$T$77,"=12",M$3:M$77)</f>
        <v>112.95500000000001</v>
      </c>
      <c r="AQ14">
        <f>[6]Asmt4!AE95</f>
        <v>110.82210119999999</v>
      </c>
    </row>
    <row r="15" spans="1:56" x14ac:dyDescent="0.2">
      <c r="A15" s="54" t="s">
        <v>172</v>
      </c>
      <c r="B15" s="53">
        <v>29.29</v>
      </c>
      <c r="C15" s="53">
        <v>30.48</v>
      </c>
      <c r="D15" s="53">
        <v>32.380000000000003</v>
      </c>
      <c r="E15" s="53">
        <v>32.51</v>
      </c>
      <c r="F15" s="53">
        <v>31.48</v>
      </c>
      <c r="G15" s="53">
        <v>32.35</v>
      </c>
      <c r="H15" s="53">
        <v>31.19</v>
      </c>
      <c r="I15" s="53">
        <v>30.61</v>
      </c>
      <c r="J15" s="53">
        <v>31.2</v>
      </c>
      <c r="K15" s="53">
        <v>30.43</v>
      </c>
      <c r="L15" s="53">
        <v>31.74</v>
      </c>
      <c r="M15" s="53">
        <v>34.11</v>
      </c>
      <c r="N15" s="53">
        <v>35.82</v>
      </c>
      <c r="O15" s="53">
        <v>36.200000000000003</v>
      </c>
      <c r="P15" s="53">
        <v>36.880000000000003</v>
      </c>
      <c r="Q15" s="53">
        <v>35.74</v>
      </c>
      <c r="R15" s="53"/>
      <c r="S15" s="53">
        <f t="shared" si="2"/>
        <v>13</v>
      </c>
      <c r="T15" s="53">
        <v>10</v>
      </c>
      <c r="V15">
        <v>333</v>
      </c>
      <c r="W15">
        <f t="shared" si="3"/>
        <v>13</v>
      </c>
      <c r="X15">
        <f>ELECNEA!AU14</f>
        <v>70.444999999999993</v>
      </c>
      <c r="Y15">
        <f>ELECNEA!AV14</f>
        <v>72.704000000000008</v>
      </c>
      <c r="Z15">
        <f>ELECNEA!AW14</f>
        <v>78.063999999999993</v>
      </c>
      <c r="AA15">
        <f>ELECNEA!AX14</f>
        <v>85.834999999999994</v>
      </c>
      <c r="AB15">
        <f>ELECNEA!AY14</f>
        <v>84.206000000000017</v>
      </c>
      <c r="AC15">
        <f>ELECNEA!AZ14</f>
        <v>88.721000000000004</v>
      </c>
      <c r="AD15">
        <f>ELECNEA!BA14</f>
        <v>91.431999999999988</v>
      </c>
      <c r="AE15">
        <f>ELECNEA!BB14</f>
        <v>93.820000000000022</v>
      </c>
      <c r="AF15">
        <f>ELECNEA!BC14</f>
        <v>98.093999999999994</v>
      </c>
      <c r="AG15">
        <f>ELECNEA!BD14</f>
        <v>98.285000000000011</v>
      </c>
      <c r="AH15">
        <f>ELECNEA!BE14</f>
        <v>97.370000000000019</v>
      </c>
      <c r="AI15">
        <f>ELECNEA!BF14</f>
        <v>99.63900000000001</v>
      </c>
      <c r="AJ15">
        <f>ELECNEA!BG14</f>
        <v>94.296999999999983</v>
      </c>
      <c r="AK15">
        <f>ELECNEA!BH14</f>
        <v>87.561999999999998</v>
      </c>
      <c r="AL15">
        <f>ELECNEA!BI14</f>
        <v>94.376999999999995</v>
      </c>
      <c r="AM15">
        <f>ELECNEA!BJ14</f>
        <v>91.40900000000002</v>
      </c>
      <c r="AN15">
        <f>SUMIF($T$3:$T$77,"=13",L$3:L$77)</f>
        <v>89.672000000000011</v>
      </c>
      <c r="AO15">
        <f>SUMIF($T$3:$T$77,"=13",M$3:M$77)</f>
        <v>98.178999999999988</v>
      </c>
      <c r="AQ15">
        <f>[6]Asmt4!AE96</f>
        <v>83.661216399999986</v>
      </c>
    </row>
    <row r="16" spans="1:56" x14ac:dyDescent="0.2">
      <c r="A16" s="54" t="s">
        <v>173</v>
      </c>
      <c r="B16" s="53">
        <v>31.19</v>
      </c>
      <c r="C16" s="53">
        <v>33.520000000000003</v>
      </c>
      <c r="D16" s="53">
        <v>35.53</v>
      </c>
      <c r="E16" s="53">
        <v>35.24</v>
      </c>
      <c r="F16" s="53">
        <v>31.52</v>
      </c>
      <c r="G16" s="53">
        <v>30.45</v>
      </c>
      <c r="H16" s="53">
        <v>28.73</v>
      </c>
      <c r="I16" s="53">
        <v>28.36</v>
      </c>
      <c r="J16" s="53">
        <v>31.15</v>
      </c>
      <c r="K16" s="53">
        <v>32.090000000000003</v>
      </c>
      <c r="L16" s="53">
        <v>32.69</v>
      </c>
      <c r="M16" s="53">
        <v>33.1</v>
      </c>
      <c r="N16" s="53">
        <v>32.82</v>
      </c>
      <c r="O16" s="53">
        <v>31.19</v>
      </c>
      <c r="P16" s="53">
        <v>32.03</v>
      </c>
      <c r="Q16" s="53">
        <v>30.97</v>
      </c>
      <c r="R16" s="53"/>
      <c r="S16" s="53">
        <f t="shared" si="2"/>
        <v>14</v>
      </c>
      <c r="T16" s="53">
        <v>10</v>
      </c>
      <c r="V16">
        <v>334</v>
      </c>
      <c r="W16">
        <f t="shared" si="3"/>
        <v>14</v>
      </c>
      <c r="X16">
        <f>ELECNEA!AU15</f>
        <v>54.903000000000006</v>
      </c>
      <c r="Y16">
        <f>ELECNEA!AV15</f>
        <v>55.341000000000001</v>
      </c>
      <c r="Z16">
        <f>ELECNEA!AW15</f>
        <v>59.051000000000002</v>
      </c>
      <c r="AA16">
        <f>ELECNEA!AX15</f>
        <v>61.929000000000002</v>
      </c>
      <c r="AB16">
        <f>ELECNEA!AY15</f>
        <v>58.358000000000004</v>
      </c>
      <c r="AC16">
        <f>ELECNEA!AZ15</f>
        <v>59.557999999999993</v>
      </c>
      <c r="AD16">
        <f>ELECNEA!BA15</f>
        <v>58.942999999999998</v>
      </c>
      <c r="AE16">
        <f>ELECNEA!BB15</f>
        <v>61.381</v>
      </c>
      <c r="AF16">
        <f>ELECNEA!BC15</f>
        <v>65.203000000000003</v>
      </c>
      <c r="AG16">
        <f>ELECNEA!BD15</f>
        <v>69.849999999999994</v>
      </c>
      <c r="AH16">
        <f>ELECNEA!BE15</f>
        <v>74.441000000000003</v>
      </c>
      <c r="AI16">
        <f>ELECNEA!BF15</f>
        <v>79.381</v>
      </c>
      <c r="AJ16">
        <f>ELECNEA!BG15</f>
        <v>84.745000000000005</v>
      </c>
      <c r="AK16">
        <f>ELECNEA!BH15</f>
        <v>88.852999999999994</v>
      </c>
      <c r="AL16">
        <f>ELECNEA!BI15</f>
        <v>96.534000000000006</v>
      </c>
      <c r="AM16">
        <f>ELECNEA!BJ15</f>
        <v>102.14400000000001</v>
      </c>
      <c r="AN16">
        <f>SUMIF($T$3:$T$77,"=14",L$3:L$77)</f>
        <v>106.81</v>
      </c>
      <c r="AO16">
        <f>SUMIF($T$3:$T$77,"=14",M$3:M$77)</f>
        <v>114.31</v>
      </c>
      <c r="AQ16">
        <f>[6]Asmt4!AE97</f>
        <v>106.67549759999999</v>
      </c>
    </row>
    <row r="17" spans="1:49" x14ac:dyDescent="0.2">
      <c r="A17" s="54" t="s">
        <v>174</v>
      </c>
      <c r="B17" s="53">
        <v>39.28</v>
      </c>
      <c r="C17" s="53">
        <v>41.52</v>
      </c>
      <c r="D17" s="53">
        <v>43.84</v>
      </c>
      <c r="E17" s="53">
        <v>44.8</v>
      </c>
      <c r="F17" s="53">
        <v>41.09</v>
      </c>
      <c r="G17" s="53">
        <v>39.93</v>
      </c>
      <c r="H17" s="53">
        <v>35.19</v>
      </c>
      <c r="I17" s="53">
        <v>36.4</v>
      </c>
      <c r="J17" s="53">
        <v>40.159999999999997</v>
      </c>
      <c r="K17" s="53">
        <v>49.96</v>
      </c>
      <c r="L17" s="53">
        <v>52.2</v>
      </c>
      <c r="M17" s="53">
        <v>55.76</v>
      </c>
      <c r="N17" s="53">
        <v>57.21</v>
      </c>
      <c r="O17" s="53">
        <v>55.63</v>
      </c>
      <c r="P17" s="53">
        <v>55.97</v>
      </c>
      <c r="Q17" s="53">
        <v>54.64</v>
      </c>
      <c r="R17" s="53"/>
      <c r="S17" s="53">
        <f t="shared" si="2"/>
        <v>15</v>
      </c>
      <c r="T17" s="53">
        <v>10</v>
      </c>
      <c r="V17">
        <v>335</v>
      </c>
      <c r="W17">
        <f t="shared" si="3"/>
        <v>15</v>
      </c>
      <c r="X17">
        <f>ELECNEA!AU16</f>
        <v>41.742000000000004</v>
      </c>
      <c r="Y17">
        <f>ELECNEA!AV16</f>
        <v>41.059000000000005</v>
      </c>
      <c r="Z17">
        <f>ELECNEA!AW16</f>
        <v>43.981999999999999</v>
      </c>
      <c r="AA17">
        <f>ELECNEA!AX16</f>
        <v>47.395000000000003</v>
      </c>
      <c r="AB17">
        <f>ELECNEA!AY16</f>
        <v>45.849000000000004</v>
      </c>
      <c r="AC17">
        <f>ELECNEA!AZ16</f>
        <v>42.866</v>
      </c>
      <c r="AD17">
        <f>ELECNEA!BA16</f>
        <v>43.198999999999998</v>
      </c>
      <c r="AE17">
        <f>ELECNEA!BB16</f>
        <v>46.016999999999996</v>
      </c>
      <c r="AF17">
        <f>ELECNEA!BC16</f>
        <v>47.624000000000002</v>
      </c>
      <c r="AG17">
        <f>ELECNEA!BD16</f>
        <v>48.644999999999996</v>
      </c>
      <c r="AH17">
        <f>ELECNEA!BE16</f>
        <v>45.695</v>
      </c>
      <c r="AI17">
        <f>ELECNEA!BF16</f>
        <v>45.230000000000004</v>
      </c>
      <c r="AJ17">
        <f>ELECNEA!BG16</f>
        <v>45.438999999999993</v>
      </c>
      <c r="AK17">
        <f>ELECNEA!BH16</f>
        <v>45.958999999999996</v>
      </c>
      <c r="AL17">
        <f>ELECNEA!BI16</f>
        <v>49.015000000000001</v>
      </c>
      <c r="AM17">
        <f>ELECNEA!BJ16</f>
        <v>46.961999999999996</v>
      </c>
      <c r="AN17">
        <f>SUMIF($T$3:$T$77,"=15",L$3:L$77)</f>
        <v>47.870000000000005</v>
      </c>
      <c r="AO17">
        <f>SUMIF($T$3:$T$77,"=15",M$3:M$77)</f>
        <v>50.752000000000002</v>
      </c>
      <c r="AQ17">
        <f>[6]Asmt4!AE98</f>
        <v>43.329670399999998</v>
      </c>
    </row>
    <row r="18" spans="1:49" x14ac:dyDescent="0.2">
      <c r="A18" s="54" t="s">
        <v>175</v>
      </c>
      <c r="B18" s="53">
        <v>186.4</v>
      </c>
      <c r="C18" s="53">
        <v>200</v>
      </c>
      <c r="D18" s="53">
        <v>211.3</v>
      </c>
      <c r="E18" s="53">
        <v>219.2</v>
      </c>
      <c r="F18" s="53">
        <v>193.2</v>
      </c>
      <c r="G18" s="53">
        <v>203.1</v>
      </c>
      <c r="H18" s="53">
        <v>143.9</v>
      </c>
      <c r="I18" s="53">
        <v>136.1</v>
      </c>
      <c r="J18" s="53">
        <v>164.5</v>
      </c>
      <c r="K18" s="53">
        <v>158.80000000000001</v>
      </c>
      <c r="L18" s="53">
        <v>149.30000000000001</v>
      </c>
      <c r="M18" s="53">
        <v>161.9</v>
      </c>
      <c r="N18" s="53">
        <v>173.9</v>
      </c>
      <c r="O18" s="53">
        <v>174.1</v>
      </c>
      <c r="P18" s="53">
        <v>174.8</v>
      </c>
      <c r="Q18" s="53">
        <v>166.2</v>
      </c>
      <c r="R18" s="53"/>
      <c r="S18" s="53">
        <f t="shared" si="2"/>
        <v>16</v>
      </c>
      <c r="T18" s="53">
        <v>11</v>
      </c>
      <c r="V18">
        <v>336</v>
      </c>
      <c r="W18">
        <f t="shared" si="3"/>
        <v>16</v>
      </c>
      <c r="X18">
        <f>ELECNEA!AU17</f>
        <v>94.828000000000003</v>
      </c>
      <c r="Y18">
        <f>ELECNEA!AV17</f>
        <v>99.453000000000003</v>
      </c>
      <c r="Z18">
        <f>ELECNEA!AW17</f>
        <v>102.69500000000001</v>
      </c>
      <c r="AA18">
        <f>ELECNEA!AX17</f>
        <v>110.53400000000001</v>
      </c>
      <c r="AB18">
        <f>ELECNEA!AY17</f>
        <v>97.158000000000001</v>
      </c>
      <c r="AC18">
        <f>ELECNEA!AZ17</f>
        <v>94.734999999999985</v>
      </c>
      <c r="AD18">
        <f>ELECNEA!BA17</f>
        <v>101.16199999999999</v>
      </c>
      <c r="AE18">
        <f>ELECNEA!BB17</f>
        <v>106.03100000000001</v>
      </c>
      <c r="AF18">
        <f>ELECNEA!BC17</f>
        <v>108.398</v>
      </c>
      <c r="AG18">
        <f>ELECNEA!BD17</f>
        <v>109.09099999999999</v>
      </c>
      <c r="AH18">
        <f>ELECNEA!BE17</f>
        <v>102.25</v>
      </c>
      <c r="AI18">
        <f>ELECNEA!BF17</f>
        <v>102.67</v>
      </c>
      <c r="AJ18">
        <f>ELECNEA!BG17</f>
        <v>98.322999999999993</v>
      </c>
      <c r="AK18">
        <f>ELECNEA!BH17</f>
        <v>103.94</v>
      </c>
      <c r="AL18">
        <f>ELECNEA!BI17</f>
        <v>114.241</v>
      </c>
      <c r="AM18">
        <f>ELECNEA!BJ17</f>
        <v>117.83800000000001</v>
      </c>
      <c r="AN18">
        <f>SUMIF($T$3:$T$77,"=16",L$3:L$77)</f>
        <v>123.29600000000001</v>
      </c>
      <c r="AO18">
        <f>SUMIF($T$3:$T$77,"=16",M$3:M$77)</f>
        <v>131.82900000000001</v>
      </c>
      <c r="AQ18">
        <f>[6]Asmt4!AE99</f>
        <v>149.9430696</v>
      </c>
      <c r="AW18">
        <f>33482*3.412*0.001</f>
        <v>114.240584</v>
      </c>
    </row>
    <row r="19" spans="1:49" x14ac:dyDescent="0.2">
      <c r="A19" s="54" t="s">
        <v>176</v>
      </c>
      <c r="B19" s="53">
        <v>43.2</v>
      </c>
      <c r="C19" s="53">
        <v>45.92</v>
      </c>
      <c r="D19" s="53">
        <v>50.96</v>
      </c>
      <c r="E19" s="53">
        <v>53.22</v>
      </c>
      <c r="F19" s="53">
        <v>45.02</v>
      </c>
      <c r="G19" s="53">
        <v>44.84</v>
      </c>
      <c r="H19" s="53">
        <v>34.85</v>
      </c>
      <c r="I19" s="53">
        <v>32.1</v>
      </c>
      <c r="J19" s="53">
        <v>39.86</v>
      </c>
      <c r="K19" s="53">
        <v>36.92</v>
      </c>
      <c r="L19" s="53">
        <v>35.6</v>
      </c>
      <c r="M19" s="53">
        <v>39.299999999999997</v>
      </c>
      <c r="N19" s="53">
        <v>43.4</v>
      </c>
      <c r="O19" s="53">
        <v>41.67</v>
      </c>
      <c r="P19" s="53">
        <v>41.79</v>
      </c>
      <c r="Q19" s="53">
        <v>38.93</v>
      </c>
      <c r="R19" s="53"/>
      <c r="S19" s="53">
        <f t="shared" si="2"/>
        <v>17</v>
      </c>
      <c r="T19" s="53">
        <v>11</v>
      </c>
      <c r="V19">
        <v>337</v>
      </c>
      <c r="W19">
        <f t="shared" si="3"/>
        <v>17</v>
      </c>
      <c r="X19">
        <f>ELECNEA!AU18</f>
        <v>11.567</v>
      </c>
      <c r="Y19">
        <f>ELECNEA!AV18</f>
        <v>11.478</v>
      </c>
      <c r="Z19">
        <f>ELECNEA!AW18</f>
        <v>11.827000000000002</v>
      </c>
      <c r="AA19">
        <f>ELECNEA!AX18</f>
        <v>12.976000000000001</v>
      </c>
      <c r="AB19">
        <f>ELECNEA!AY18</f>
        <v>13.696</v>
      </c>
      <c r="AC19">
        <f>ELECNEA!AZ18</f>
        <v>13.256</v>
      </c>
      <c r="AD19">
        <f>ELECNEA!BA18</f>
        <v>13.541999999999998</v>
      </c>
      <c r="AE19">
        <f>ELECNEA!BB18</f>
        <v>14.297000000000001</v>
      </c>
      <c r="AF19">
        <f>ELECNEA!BC18</f>
        <v>14.518000000000001</v>
      </c>
      <c r="AG19">
        <f>ELECNEA!BD18</f>
        <v>13.760000000000002</v>
      </c>
      <c r="AH19">
        <f>ELECNEA!BE18</f>
        <v>13.483000000000001</v>
      </c>
      <c r="AI19">
        <f>ELECNEA!BF18</f>
        <v>14.137</v>
      </c>
      <c r="AJ19">
        <f>ELECNEA!BG18</f>
        <v>13.647</v>
      </c>
      <c r="AK19">
        <f>ELECNEA!BH18</f>
        <v>14.561</v>
      </c>
      <c r="AL19">
        <f>ELECNEA!BI18</f>
        <v>15.513999999999999</v>
      </c>
      <c r="AM19">
        <f>ELECNEA!BJ18</f>
        <v>15.267999999999999</v>
      </c>
      <c r="AN19">
        <f>SUMIF($T$3:$T$77,"=17",L$3:L$77)</f>
        <v>15.960999999999999</v>
      </c>
      <c r="AO19">
        <f>SUMIF($T$3:$T$77,"=17",M$3:M$77)</f>
        <v>19.492000000000001</v>
      </c>
      <c r="AQ19">
        <f>[6]Asmt4!AE100</f>
        <v>21.677459599999995</v>
      </c>
    </row>
    <row r="20" spans="1:49" x14ac:dyDescent="0.2">
      <c r="A20" s="54" t="s">
        <v>177</v>
      </c>
      <c r="B20" s="53">
        <v>225</v>
      </c>
      <c r="C20" s="53">
        <v>244.7</v>
      </c>
      <c r="D20" s="53">
        <v>250.7</v>
      </c>
      <c r="E20" s="53">
        <v>261.2</v>
      </c>
      <c r="F20" s="53">
        <v>262.10000000000002</v>
      </c>
      <c r="G20" s="53">
        <v>256.60000000000002</v>
      </c>
      <c r="H20" s="53">
        <v>177.2</v>
      </c>
      <c r="I20" s="53">
        <v>180.4</v>
      </c>
      <c r="J20" s="53">
        <v>216.4</v>
      </c>
      <c r="K20" s="53">
        <v>189.8</v>
      </c>
      <c r="L20" s="53">
        <v>175.9</v>
      </c>
      <c r="M20" s="53">
        <v>174.9</v>
      </c>
      <c r="N20" s="53">
        <v>221.7</v>
      </c>
      <c r="O20" s="53">
        <v>209.7</v>
      </c>
      <c r="P20" s="53">
        <v>217.3</v>
      </c>
      <c r="Q20" s="53">
        <v>225.5</v>
      </c>
      <c r="R20" s="53"/>
      <c r="S20" s="53">
        <f t="shared" si="2"/>
        <v>18</v>
      </c>
      <c r="T20" s="53">
        <v>11</v>
      </c>
      <c r="V20">
        <v>339</v>
      </c>
      <c r="W20">
        <f t="shared" si="3"/>
        <v>18</v>
      </c>
      <c r="X20">
        <f>ELECNEA!AU19</f>
        <v>11.228999999999999</v>
      </c>
      <c r="Y20">
        <f>ELECNEA!AV19</f>
        <v>12.727</v>
      </c>
      <c r="Z20">
        <f>ELECNEA!AW19</f>
        <v>14.259</v>
      </c>
      <c r="AA20">
        <f>ELECNEA!AX19</f>
        <v>14.273</v>
      </c>
      <c r="AB20">
        <f>ELECNEA!AY19</f>
        <v>13.500999999999999</v>
      </c>
      <c r="AC20">
        <f>ELECNEA!AZ19</f>
        <v>13.026999999999999</v>
      </c>
      <c r="AD20">
        <f>ELECNEA!BA19</f>
        <v>12.7</v>
      </c>
      <c r="AE20">
        <f>ELECNEA!BB19</f>
        <v>14.068</v>
      </c>
      <c r="AF20">
        <f>ELECNEA!BC19</f>
        <v>13.611000000000001</v>
      </c>
      <c r="AG20">
        <f>ELECNEA!BD19</f>
        <v>12.603</v>
      </c>
      <c r="AH20">
        <f>ELECNEA!BE19</f>
        <v>12.353999999999999</v>
      </c>
      <c r="AI20">
        <f>ELECNEA!BF19</f>
        <v>12.388</v>
      </c>
      <c r="AJ20">
        <f>ELECNEA!BG19</f>
        <v>12.462999999999999</v>
      </c>
      <c r="AK20">
        <f>ELECNEA!BH19</f>
        <v>12.375999999999999</v>
      </c>
      <c r="AL20">
        <f>ELECNEA!BI19</f>
        <v>12.654999999999999</v>
      </c>
      <c r="AM20">
        <f>ELECNEA!BJ19</f>
        <v>11.894</v>
      </c>
      <c r="AN20">
        <f>SUMIF($T$3:$T$77,"=18",L$3:L$77)</f>
        <v>12.13</v>
      </c>
      <c r="AO20">
        <f>SUMIF($T$3:$T$77,"=18",M$3:M$77)</f>
        <v>15.82</v>
      </c>
      <c r="AQ20">
        <f>[6]Asmt4!AE101</f>
        <v>25.476380399999996</v>
      </c>
    </row>
    <row r="21" spans="1:49" x14ac:dyDescent="0.2">
      <c r="A21" s="54" t="s">
        <v>178</v>
      </c>
      <c r="B21" s="53">
        <v>72.62</v>
      </c>
      <c r="C21" s="53">
        <v>71.12</v>
      </c>
      <c r="D21" s="53">
        <v>73.489999999999995</v>
      </c>
      <c r="E21" s="53">
        <v>76.92</v>
      </c>
      <c r="F21" s="53">
        <v>75.540000000000006</v>
      </c>
      <c r="G21" s="53">
        <v>76.45</v>
      </c>
      <c r="H21" s="53">
        <v>64.42</v>
      </c>
      <c r="I21" s="53">
        <v>61.83</v>
      </c>
      <c r="J21" s="53">
        <v>69.25</v>
      </c>
      <c r="K21" s="53">
        <v>68.510000000000005</v>
      </c>
      <c r="L21" s="53">
        <v>66.97</v>
      </c>
      <c r="M21" s="53">
        <v>69.52</v>
      </c>
      <c r="N21" s="53">
        <v>73.849999999999994</v>
      </c>
      <c r="O21" s="53">
        <v>75.81</v>
      </c>
      <c r="P21" s="53">
        <v>73.5</v>
      </c>
      <c r="Q21" s="53">
        <v>72.78</v>
      </c>
      <c r="R21" s="53"/>
      <c r="S21" s="53">
        <f t="shared" si="2"/>
        <v>19</v>
      </c>
      <c r="T21" s="53">
        <v>11</v>
      </c>
      <c r="X21">
        <f>ELECNEA!AU20</f>
        <v>256.49899999999997</v>
      </c>
      <c r="Y21">
        <f>ELECNEA!AV20</f>
        <v>262.245</v>
      </c>
      <c r="Z21">
        <f>ELECNEA!AW20</f>
        <v>269.37400000000002</v>
      </c>
      <c r="AA21">
        <f>ELECNEA!AX20</f>
        <v>288.09699999999998</v>
      </c>
      <c r="AB21">
        <f>ELECNEA!AY20</f>
        <v>293.44600000000003</v>
      </c>
      <c r="AC21">
        <f>ELECNEA!AZ20</f>
        <v>296.32300000000004</v>
      </c>
      <c r="AD21">
        <f>ELECNEA!BA20</f>
        <v>323.01100000000008</v>
      </c>
      <c r="AE21">
        <f>ELECNEA!BB20</f>
        <v>334.19</v>
      </c>
      <c r="AF21">
        <f>ELECNEA!BC20</f>
        <v>377.32499999999999</v>
      </c>
      <c r="AG21">
        <f>ELECNEA!BD20</f>
        <v>415.90000000000003</v>
      </c>
      <c r="AH21">
        <f>ELECNEA!BE20</f>
        <v>418.94900000000001</v>
      </c>
      <c r="AI21">
        <f>ELECNEA!BF20</f>
        <v>442.85299999999995</v>
      </c>
      <c r="AJ21">
        <f>ELECNEA!BG20</f>
        <v>407.52000000000004</v>
      </c>
      <c r="AK21">
        <f>ELECNEA!BH20</f>
        <v>425.71099999999996</v>
      </c>
      <c r="AL21">
        <f>ELECNEA!BI20</f>
        <v>456.15100000000001</v>
      </c>
      <c r="AM21">
        <f>ELECNEA!BJ20</f>
        <v>462.06799999999993</v>
      </c>
      <c r="AN21">
        <f>SUM(AN3:AN20)</f>
        <v>2245.1826999999994</v>
      </c>
      <c r="AO21">
        <f>SUM(AO3:AO20)</f>
        <v>2384.7250000000008</v>
      </c>
    </row>
    <row r="22" spans="1:49" x14ac:dyDescent="0.2">
      <c r="A22" s="54" t="s">
        <v>179</v>
      </c>
      <c r="B22" s="53">
        <v>4.2080000000000002</v>
      </c>
      <c r="C22" s="53">
        <v>3.7469999999999999</v>
      </c>
      <c r="D22" s="53">
        <v>4.7359999999999998</v>
      </c>
      <c r="E22" s="53">
        <v>4.806</v>
      </c>
      <c r="F22" s="53">
        <v>5.0259999999999998</v>
      </c>
      <c r="G22" s="53">
        <v>4.9610000000000003</v>
      </c>
      <c r="H22" s="53">
        <v>5.0389999999999997</v>
      </c>
      <c r="I22" s="53">
        <v>4.9000000000000004</v>
      </c>
      <c r="J22" s="53">
        <v>6.5309999999999997</v>
      </c>
      <c r="K22" s="53">
        <v>5.806</v>
      </c>
      <c r="L22" s="53">
        <v>6.0439999999999996</v>
      </c>
      <c r="M22" s="53">
        <v>6.4669999999999996</v>
      </c>
      <c r="N22" s="53">
        <v>6.6310000000000002</v>
      </c>
      <c r="O22" s="53">
        <v>6.1849999999999996</v>
      </c>
      <c r="P22" s="53">
        <v>5.9889999999999999</v>
      </c>
      <c r="Q22" s="53">
        <v>5.984</v>
      </c>
      <c r="R22" s="53"/>
      <c r="S22" s="53">
        <f t="shared" si="2"/>
        <v>20</v>
      </c>
      <c r="T22" s="53">
        <v>12</v>
      </c>
      <c r="AE22">
        <f>AE21/3.412*1000</f>
        <v>97945.486518171165</v>
      </c>
      <c r="AF22">
        <f t="shared" ref="AF22:AO22" si="4">AF21/3.412*1000</f>
        <v>110587.63188745604</v>
      </c>
      <c r="AG22">
        <f t="shared" si="4"/>
        <v>121893.31770222745</v>
      </c>
      <c r="AH22">
        <f t="shared" si="4"/>
        <v>122786.92848769051</v>
      </c>
      <c r="AI22">
        <f t="shared" si="4"/>
        <v>129792.79015240328</v>
      </c>
      <c r="AJ22">
        <f t="shared" si="4"/>
        <v>119437.28018757328</v>
      </c>
      <c r="AK22">
        <f t="shared" si="4"/>
        <v>124768.75732708088</v>
      </c>
      <c r="AL22">
        <f t="shared" si="4"/>
        <v>133690.21101992967</v>
      </c>
      <c r="AM22">
        <f t="shared" si="4"/>
        <v>135424.38452520515</v>
      </c>
      <c r="AN22">
        <f t="shared" si="4"/>
        <v>658025.41031652968</v>
      </c>
      <c r="AO22">
        <f t="shared" si="4"/>
        <v>698922.91910902725</v>
      </c>
      <c r="AQ22" s="5">
        <f>SUM(AQ3:AQ20)</f>
        <v>2363.7070147999998</v>
      </c>
    </row>
    <row r="23" spans="1:49" x14ac:dyDescent="0.2">
      <c r="A23" s="54" t="s">
        <v>180</v>
      </c>
      <c r="B23" s="53">
        <v>5.0579999999999998</v>
      </c>
      <c r="C23" s="53">
        <v>5.391</v>
      </c>
      <c r="D23" s="53">
        <v>5.1369999999999996</v>
      </c>
      <c r="E23" s="53">
        <v>5.673</v>
      </c>
      <c r="F23" s="53">
        <v>5.25</v>
      </c>
      <c r="G23" s="53">
        <v>5.2830000000000004</v>
      </c>
      <c r="H23" s="53">
        <v>4.4489999999999998</v>
      </c>
      <c r="I23" s="53">
        <v>4.2779999999999996</v>
      </c>
      <c r="J23" s="53">
        <v>5.5810000000000004</v>
      </c>
      <c r="K23" s="53">
        <v>5.55</v>
      </c>
      <c r="L23" s="53">
        <v>5.0209999999999999</v>
      </c>
      <c r="M23" s="53">
        <v>5.6429999999999998</v>
      </c>
      <c r="N23" s="53">
        <v>6.266</v>
      </c>
      <c r="O23" s="53">
        <v>6.7210000000000001</v>
      </c>
      <c r="P23" s="53">
        <v>6.6310000000000002</v>
      </c>
      <c r="Q23" s="53">
        <v>6.1529999999999996</v>
      </c>
      <c r="R23" s="53"/>
      <c r="S23" s="53">
        <f t="shared" si="2"/>
        <v>21</v>
      </c>
      <c r="T23" s="53">
        <v>12</v>
      </c>
      <c r="V23" t="s">
        <v>24</v>
      </c>
      <c r="AQ23" s="5">
        <f>SUM(AQ14:AQ20)</f>
        <v>541.58539519999999</v>
      </c>
    </row>
    <row r="24" spans="1:49" x14ac:dyDescent="0.2">
      <c r="A24" s="54" t="s">
        <v>187</v>
      </c>
      <c r="B24" s="53">
        <v>7.0250000000000004</v>
      </c>
      <c r="C24" s="53">
        <v>7.476</v>
      </c>
      <c r="D24" s="53">
        <v>7.5919999999999996</v>
      </c>
      <c r="E24" s="53">
        <v>7.7009999999999996</v>
      </c>
      <c r="F24" s="53">
        <v>7.3460000000000001</v>
      </c>
      <c r="G24" s="53">
        <v>7.4509999999999996</v>
      </c>
      <c r="H24" s="53">
        <v>8.202</v>
      </c>
      <c r="I24" s="53">
        <v>8.2390000000000008</v>
      </c>
      <c r="J24" s="53">
        <v>8.5009999999999994</v>
      </c>
      <c r="K24" s="53">
        <v>7.9729999999999999</v>
      </c>
      <c r="L24" s="53">
        <v>8.0609999999999999</v>
      </c>
      <c r="M24" s="53">
        <v>8.6080000000000005</v>
      </c>
      <c r="N24" s="53">
        <v>9.0180000000000007</v>
      </c>
      <c r="O24" s="53">
        <v>9.7759999999999998</v>
      </c>
      <c r="P24" s="53">
        <v>10.29</v>
      </c>
      <c r="Q24" s="53">
        <v>10.57</v>
      </c>
      <c r="R24" s="53"/>
      <c r="S24" s="53">
        <f t="shared" si="2"/>
        <v>22</v>
      </c>
      <c r="T24" s="53">
        <v>12</v>
      </c>
    </row>
    <row r="25" spans="1:49" x14ac:dyDescent="0.2">
      <c r="A25" s="54" t="s">
        <v>181</v>
      </c>
      <c r="B25" s="53">
        <v>20.54</v>
      </c>
      <c r="C25" s="53">
        <v>20.71</v>
      </c>
      <c r="D25" s="53">
        <v>20.09</v>
      </c>
      <c r="E25" s="53">
        <v>20.16</v>
      </c>
      <c r="F25" s="53">
        <v>20.010000000000002</v>
      </c>
      <c r="G25" s="53">
        <v>19.97</v>
      </c>
      <c r="H25" s="53">
        <v>22.51</v>
      </c>
      <c r="I25" s="53">
        <v>19.760000000000002</v>
      </c>
      <c r="J25" s="53">
        <v>19.61</v>
      </c>
      <c r="K25" s="53">
        <v>19.57</v>
      </c>
      <c r="L25" s="53">
        <v>19.41</v>
      </c>
      <c r="M25" s="53">
        <v>21.62</v>
      </c>
      <c r="N25" s="53">
        <v>22.76</v>
      </c>
      <c r="O25" s="53">
        <v>22.98</v>
      </c>
      <c r="P25" s="53">
        <v>23.26</v>
      </c>
      <c r="Q25" s="53">
        <v>22.37</v>
      </c>
      <c r="R25" s="53"/>
      <c r="S25" s="53">
        <f t="shared" si="2"/>
        <v>23</v>
      </c>
      <c r="T25" s="53">
        <v>12</v>
      </c>
      <c r="AM25" s="52" t="s">
        <v>236</v>
      </c>
    </row>
    <row r="26" spans="1:49" x14ac:dyDescent="0.2">
      <c r="A26" s="54" t="s">
        <v>182</v>
      </c>
      <c r="B26" s="53">
        <v>5.5670000000000002</v>
      </c>
      <c r="C26" s="53">
        <v>5.6669999999999998</v>
      </c>
      <c r="D26" s="53">
        <v>5.6790000000000003</v>
      </c>
      <c r="E26" s="53">
        <v>5.5750000000000002</v>
      </c>
      <c r="F26" s="53">
        <v>5.45</v>
      </c>
      <c r="G26" s="53">
        <v>5.4649999999999999</v>
      </c>
      <c r="H26" s="53">
        <v>4.2</v>
      </c>
      <c r="I26" s="53">
        <v>4.0430000000000001</v>
      </c>
      <c r="J26" s="53">
        <v>5.1340000000000003</v>
      </c>
      <c r="K26" s="53">
        <v>5.0730000000000004</v>
      </c>
      <c r="L26" s="53">
        <v>5.0570000000000004</v>
      </c>
      <c r="M26" s="53">
        <v>5.907</v>
      </c>
      <c r="N26" s="53">
        <v>6.21</v>
      </c>
      <c r="O26" s="53">
        <v>6.2779999999999996</v>
      </c>
      <c r="P26" s="53">
        <v>6.335</v>
      </c>
      <c r="Q26" s="53">
        <v>6.5910000000000002</v>
      </c>
      <c r="R26" s="53"/>
      <c r="S26" s="53">
        <f t="shared" si="2"/>
        <v>24</v>
      </c>
      <c r="T26" s="53">
        <v>12</v>
      </c>
      <c r="V26" s="2" t="s">
        <v>12</v>
      </c>
      <c r="W26">
        <v>1</v>
      </c>
      <c r="X26">
        <f>X3</f>
        <v>118.012</v>
      </c>
      <c r="Y26">
        <f t="shared" ref="Y26:AD26" si="5">Y3</f>
        <v>118.377</v>
      </c>
      <c r="Z26">
        <f t="shared" si="5"/>
        <v>120.59500000000001</v>
      </c>
      <c r="AA26">
        <f t="shared" si="5"/>
        <v>125.497</v>
      </c>
      <c r="AB26">
        <f t="shared" si="5"/>
        <v>129.32599999999999</v>
      </c>
      <c r="AC26">
        <f t="shared" si="5"/>
        <v>134.33099999999999</v>
      </c>
      <c r="AD26">
        <f t="shared" si="5"/>
        <v>137.11600000000001</v>
      </c>
      <c r="AE26">
        <f>AE3</f>
        <v>140.90299999999999</v>
      </c>
      <c r="AF26">
        <f t="shared" ref="AF26:AL26" si="6">AF3</f>
        <v>142.58099999999999</v>
      </c>
      <c r="AG26">
        <f t="shared" si="6"/>
        <v>139.40300000000002</v>
      </c>
      <c r="AH26">
        <f t="shared" si="6"/>
        <v>145.04899999999998</v>
      </c>
      <c r="AI26">
        <f t="shared" si="6"/>
        <v>146.20400000000001</v>
      </c>
      <c r="AJ26">
        <f t="shared" si="6"/>
        <v>161.75099999999998</v>
      </c>
      <c r="AK26">
        <f t="shared" si="6"/>
        <v>154.989</v>
      </c>
      <c r="AL26">
        <f t="shared" si="6"/>
        <v>159.596</v>
      </c>
      <c r="AM26" s="6">
        <f>'ASM2'!AG23</f>
        <v>159.61404240000002</v>
      </c>
      <c r="AN26" s="6">
        <f>'ASM2'!AH23</f>
        <v>162.34671320000001</v>
      </c>
      <c r="AO26" s="6">
        <f>'ASM2'!AI23</f>
        <v>175.813536</v>
      </c>
      <c r="AP26">
        <f>AO26/3.412*1000</f>
        <v>51528</v>
      </c>
    </row>
    <row r="27" spans="1:49" x14ac:dyDescent="0.2">
      <c r="A27" s="54" t="s">
        <v>183</v>
      </c>
      <c r="B27" s="53">
        <v>15.62</v>
      </c>
      <c r="C27" s="53">
        <v>15.73</v>
      </c>
      <c r="D27" s="53">
        <v>15.72</v>
      </c>
      <c r="E27" s="53">
        <v>15.36</v>
      </c>
      <c r="F27" s="53">
        <v>13.67</v>
      </c>
      <c r="G27" s="53">
        <v>13.58</v>
      </c>
      <c r="H27" s="53">
        <v>13.17</v>
      </c>
      <c r="I27" s="53">
        <v>14.97</v>
      </c>
      <c r="J27" s="53">
        <v>24.56</v>
      </c>
      <c r="K27" s="53">
        <v>17.61</v>
      </c>
      <c r="L27" s="53">
        <v>15.85</v>
      </c>
      <c r="M27" s="53">
        <v>24.2</v>
      </c>
      <c r="N27" s="53">
        <v>18.149999999999999</v>
      </c>
      <c r="O27" s="53">
        <v>18.239999999999998</v>
      </c>
      <c r="P27" s="53">
        <v>17.59</v>
      </c>
      <c r="Q27" s="53">
        <v>16.899999999999999</v>
      </c>
      <c r="R27" s="53"/>
      <c r="S27" s="53">
        <f t="shared" si="2"/>
        <v>25</v>
      </c>
      <c r="T27" s="53">
        <v>12</v>
      </c>
      <c r="V27" s="2" t="s">
        <v>13</v>
      </c>
      <c r="W27">
        <f>W26+1</f>
        <v>2</v>
      </c>
      <c r="X27">
        <f t="shared" ref="X27:AD27" si="7">X4</f>
        <v>84.37299999999999</v>
      </c>
      <c r="Y27">
        <f t="shared" si="7"/>
        <v>88.457999999999998</v>
      </c>
      <c r="Z27">
        <f t="shared" si="7"/>
        <v>96.656999999999996</v>
      </c>
      <c r="AA27">
        <f t="shared" si="7"/>
        <v>100.96899999999999</v>
      </c>
      <c r="AB27">
        <f t="shared" si="7"/>
        <v>93.606000000000009</v>
      </c>
      <c r="AC27">
        <f t="shared" si="7"/>
        <v>92.954999999999998</v>
      </c>
      <c r="AD27">
        <f t="shared" si="7"/>
        <v>97.764999999999986</v>
      </c>
      <c r="AE27">
        <f t="shared" ref="AE27:AL42" si="8">AE4</f>
        <v>96.554999999999993</v>
      </c>
      <c r="AF27">
        <f t="shared" si="8"/>
        <v>96.180999999999997</v>
      </c>
      <c r="AG27">
        <f t="shared" si="8"/>
        <v>94.64800000000001</v>
      </c>
      <c r="AH27">
        <f t="shared" si="8"/>
        <v>91.668000000000006</v>
      </c>
      <c r="AI27">
        <f t="shared" si="8"/>
        <v>91.216999999999999</v>
      </c>
      <c r="AJ27">
        <f t="shared" si="8"/>
        <v>85.969000000000008</v>
      </c>
      <c r="AK27">
        <f t="shared" si="8"/>
        <v>93.38000000000001</v>
      </c>
      <c r="AL27">
        <f t="shared" si="8"/>
        <v>95.377999999999986</v>
      </c>
      <c r="AM27" s="6">
        <f>'ASM2'!AG24</f>
        <v>91.731961199999986</v>
      </c>
      <c r="AN27" s="6">
        <f>'ASM2'!AH24</f>
        <v>94.829033600000017</v>
      </c>
      <c r="AO27" s="6">
        <f>'ASM2'!AI24</f>
        <v>106.82596680000002</v>
      </c>
      <c r="AP27">
        <f t="shared" ref="AP27:AP43" si="9">AO27/3.412*1000</f>
        <v>31308.900000000005</v>
      </c>
    </row>
    <row r="28" spans="1:49" x14ac:dyDescent="0.2">
      <c r="A28" s="54" t="s">
        <v>184</v>
      </c>
      <c r="B28" s="53">
        <v>29.79</v>
      </c>
      <c r="C28" s="53">
        <v>31.11</v>
      </c>
      <c r="D28" s="53">
        <v>31.02</v>
      </c>
      <c r="E28" s="53">
        <v>30.45</v>
      </c>
      <c r="F28" s="53">
        <v>29.64</v>
      </c>
      <c r="G28" s="53">
        <v>30.43</v>
      </c>
      <c r="H28" s="53">
        <v>29.55</v>
      </c>
      <c r="I28" s="53">
        <v>28.55</v>
      </c>
      <c r="J28" s="53">
        <v>33.72</v>
      </c>
      <c r="K28" s="53">
        <v>33.869999999999997</v>
      </c>
      <c r="L28" s="53">
        <v>33.840000000000003</v>
      </c>
      <c r="M28" s="53">
        <v>40.51</v>
      </c>
      <c r="N28" s="53">
        <v>43.78</v>
      </c>
      <c r="O28" s="53">
        <v>43.14</v>
      </c>
      <c r="P28" s="53">
        <v>42.97</v>
      </c>
      <c r="Q28" s="53">
        <v>41.78</v>
      </c>
      <c r="R28" s="53"/>
      <c r="S28" s="53">
        <f t="shared" si="2"/>
        <v>26</v>
      </c>
      <c r="T28" s="53">
        <v>12</v>
      </c>
      <c r="V28" s="2" t="s">
        <v>14</v>
      </c>
      <c r="W28">
        <f t="shared" ref="W28:W43" si="10">W27+1</f>
        <v>3</v>
      </c>
      <c r="X28">
        <f t="shared" ref="X28:AD28" si="11">X5</f>
        <v>21.666</v>
      </c>
      <c r="Y28">
        <f t="shared" si="11"/>
        <v>21.315000000000001</v>
      </c>
      <c r="Z28">
        <f t="shared" si="11"/>
        <v>24.856000000000002</v>
      </c>
      <c r="AA28">
        <f t="shared" si="11"/>
        <v>25.651</v>
      </c>
      <c r="AB28">
        <f t="shared" si="11"/>
        <v>25.044000000000004</v>
      </c>
      <c r="AC28">
        <f t="shared" si="11"/>
        <v>26.220000000000002</v>
      </c>
      <c r="AD28">
        <f t="shared" si="11"/>
        <v>26.064999999999998</v>
      </c>
      <c r="AE28">
        <f t="shared" si="8"/>
        <v>25.074000000000002</v>
      </c>
      <c r="AF28">
        <f t="shared" si="8"/>
        <v>23.367999999999999</v>
      </c>
      <c r="AG28">
        <f t="shared" si="8"/>
        <v>20.452999999999999</v>
      </c>
      <c r="AH28">
        <f t="shared" si="8"/>
        <v>21.411000000000001</v>
      </c>
      <c r="AI28">
        <f t="shared" si="8"/>
        <v>21.231000000000002</v>
      </c>
      <c r="AJ28">
        <f t="shared" si="8"/>
        <v>21.222000000000001</v>
      </c>
      <c r="AK28">
        <f t="shared" si="8"/>
        <v>21.192</v>
      </c>
      <c r="AL28">
        <f t="shared" si="8"/>
        <v>23.468999999999998</v>
      </c>
      <c r="AM28" s="6">
        <f>'ASM2'!AG25</f>
        <v>19.829520399999996</v>
      </c>
      <c r="AN28" s="6">
        <f>'ASM2'!AH25</f>
        <v>20.001826399999999</v>
      </c>
      <c r="AO28" s="6">
        <f>'ASM2'!AI25</f>
        <v>20.253290799999998</v>
      </c>
      <c r="AP28">
        <f t="shared" si="9"/>
        <v>5935.9</v>
      </c>
    </row>
    <row r="29" spans="1:49" x14ac:dyDescent="0.2">
      <c r="A29" s="54" t="s">
        <v>185</v>
      </c>
      <c r="B29" s="53">
        <v>7.899</v>
      </c>
      <c r="C29" s="53">
        <v>8.0250000000000004</v>
      </c>
      <c r="D29" s="53">
        <v>8.3629999999999995</v>
      </c>
      <c r="E29" s="53">
        <v>8.2929999999999993</v>
      </c>
      <c r="F29" s="53">
        <v>8.3460000000000001</v>
      </c>
      <c r="G29" s="53">
        <v>8.8620000000000001</v>
      </c>
      <c r="H29" s="53">
        <v>8.2330000000000005</v>
      </c>
      <c r="I29" s="53">
        <v>7.6589999999999998</v>
      </c>
      <c r="J29" s="53">
        <v>8.8030000000000008</v>
      </c>
      <c r="K29" s="53">
        <v>8.4</v>
      </c>
      <c r="L29" s="53">
        <v>8.0380000000000003</v>
      </c>
      <c r="M29" s="53">
        <v>8.42</v>
      </c>
      <c r="N29" s="53">
        <v>8.984</v>
      </c>
      <c r="O29" s="53">
        <v>8.65</v>
      </c>
      <c r="P29" s="53">
        <v>8.5719999999999992</v>
      </c>
      <c r="Q29" s="53">
        <v>8.9320000000000004</v>
      </c>
      <c r="R29" s="53"/>
      <c r="S29" s="53">
        <f t="shared" si="2"/>
        <v>27</v>
      </c>
      <c r="T29" s="53">
        <v>13</v>
      </c>
      <c r="V29">
        <v>321</v>
      </c>
      <c r="W29">
        <f t="shared" si="10"/>
        <v>4</v>
      </c>
      <c r="X29">
        <f t="shared" ref="X29:AD29" si="12">X6</f>
        <v>35.766000000000005</v>
      </c>
      <c r="Y29">
        <f t="shared" si="12"/>
        <v>39.689</v>
      </c>
      <c r="Z29">
        <f t="shared" si="12"/>
        <v>46.337000000000003</v>
      </c>
      <c r="AA29">
        <f t="shared" si="12"/>
        <v>46.591999999999999</v>
      </c>
      <c r="AB29">
        <f t="shared" si="12"/>
        <v>50.767000000000003</v>
      </c>
      <c r="AC29">
        <f t="shared" si="12"/>
        <v>49.445999999999998</v>
      </c>
      <c r="AD29">
        <f t="shared" si="12"/>
        <v>53.167000000000002</v>
      </c>
      <c r="AE29">
        <f t="shared" si="8"/>
        <v>55.122</v>
      </c>
      <c r="AF29">
        <f t="shared" si="8"/>
        <v>56.872</v>
      </c>
      <c r="AG29">
        <f t="shared" si="8"/>
        <v>54.815999999999995</v>
      </c>
      <c r="AH29">
        <f t="shared" si="8"/>
        <v>50.045000000000002</v>
      </c>
      <c r="AI29">
        <f t="shared" si="8"/>
        <v>49.568999999999996</v>
      </c>
      <c r="AJ29">
        <f t="shared" si="8"/>
        <v>49.874000000000002</v>
      </c>
      <c r="AK29">
        <f t="shared" si="8"/>
        <v>52.704999999999998</v>
      </c>
      <c r="AL29">
        <f t="shared" si="8"/>
        <v>57.091000000000001</v>
      </c>
      <c r="AM29" s="6">
        <f>'ASM2'!AG26</f>
        <v>57.203885999999997</v>
      </c>
      <c r="AN29" s="6">
        <f>'ASM2'!AH26</f>
        <v>60.595755200000006</v>
      </c>
      <c r="AO29" s="6">
        <f>'ASM2'!AI26</f>
        <v>70.843356</v>
      </c>
      <c r="AP29">
        <f t="shared" si="9"/>
        <v>20763</v>
      </c>
    </row>
    <row r="30" spans="1:49" x14ac:dyDescent="0.2">
      <c r="A30" s="54" t="s">
        <v>186</v>
      </c>
      <c r="B30" s="53">
        <v>6.7460000000000004</v>
      </c>
      <c r="C30" s="53">
        <v>7.1310000000000002</v>
      </c>
      <c r="D30" s="53">
        <v>6.8150000000000004</v>
      </c>
      <c r="E30" s="53">
        <v>7.415</v>
      </c>
      <c r="F30" s="53">
        <v>7.1109999999999998</v>
      </c>
      <c r="G30" s="53">
        <v>7.0140000000000002</v>
      </c>
      <c r="H30" s="53">
        <v>6.2130000000000001</v>
      </c>
      <c r="I30" s="53">
        <v>5.5830000000000002</v>
      </c>
      <c r="J30" s="53">
        <v>5.8739999999999997</v>
      </c>
      <c r="K30" s="53">
        <v>5.3040000000000003</v>
      </c>
      <c r="L30" s="53">
        <v>4.5819999999999999</v>
      </c>
      <c r="M30" s="53">
        <v>5.2670000000000003</v>
      </c>
      <c r="N30" s="53">
        <v>5.8019999999999996</v>
      </c>
      <c r="O30" s="53">
        <v>6.2069999999999999</v>
      </c>
      <c r="P30" s="53">
        <v>6.2030000000000003</v>
      </c>
      <c r="Q30" s="53">
        <v>6.1059999999999999</v>
      </c>
      <c r="R30" s="53"/>
      <c r="S30" s="53">
        <f t="shared" si="2"/>
        <v>28</v>
      </c>
      <c r="T30" s="53">
        <v>13</v>
      </c>
      <c r="V30">
        <v>322</v>
      </c>
      <c r="W30">
        <f t="shared" si="10"/>
        <v>5</v>
      </c>
      <c r="X30">
        <f t="shared" ref="X30:AD30" si="13">X7</f>
        <v>112.87</v>
      </c>
      <c r="Y30">
        <f t="shared" si="13"/>
        <v>119.11399999999999</v>
      </c>
      <c r="Z30">
        <f t="shared" si="13"/>
        <v>125.52799999999999</v>
      </c>
      <c r="AA30">
        <f t="shared" si="13"/>
        <v>129.98500000000001</v>
      </c>
      <c r="AB30">
        <f t="shared" si="13"/>
        <v>139.44900000000001</v>
      </c>
      <c r="AC30">
        <f t="shared" si="13"/>
        <v>133.482</v>
      </c>
      <c r="AD30">
        <f t="shared" si="13"/>
        <v>148.279</v>
      </c>
      <c r="AE30">
        <f t="shared" si="8"/>
        <v>152.04</v>
      </c>
      <c r="AF30">
        <f t="shared" si="8"/>
        <v>155.625</v>
      </c>
      <c r="AG30">
        <f t="shared" si="8"/>
        <v>157.50199999999998</v>
      </c>
      <c r="AH30">
        <f t="shared" si="8"/>
        <v>169.52399999999997</v>
      </c>
      <c r="AI30">
        <f t="shared" si="8"/>
        <v>178.10300000000001</v>
      </c>
      <c r="AJ30">
        <f t="shared" si="8"/>
        <v>172.44199999999998</v>
      </c>
      <c r="AK30">
        <f t="shared" si="8"/>
        <v>176.792</v>
      </c>
      <c r="AL30">
        <f t="shared" si="8"/>
        <v>182.90299999999999</v>
      </c>
      <c r="AM30" s="6">
        <f>'ASM2'!AG27</f>
        <v>178.95667040000001</v>
      </c>
      <c r="AN30" s="6">
        <f>'ASM2'!AH27</f>
        <v>198.8902568</v>
      </c>
      <c r="AO30" s="6">
        <f>'ASM2'!AI27</f>
        <v>202.15315239999998</v>
      </c>
      <c r="AP30">
        <f t="shared" si="9"/>
        <v>59247.7</v>
      </c>
    </row>
    <row r="31" spans="1:49" x14ac:dyDescent="0.2">
      <c r="A31" s="54" t="s">
        <v>188</v>
      </c>
      <c r="B31" s="53">
        <v>14.57</v>
      </c>
      <c r="C31" s="53">
        <v>14.3</v>
      </c>
      <c r="D31" s="53">
        <v>15.45</v>
      </c>
      <c r="E31" s="53">
        <v>15.97</v>
      </c>
      <c r="F31" s="53">
        <v>15.97</v>
      </c>
      <c r="G31" s="53">
        <v>16.7</v>
      </c>
      <c r="H31" s="53">
        <v>15.32</v>
      </c>
      <c r="I31" s="53">
        <v>13.08</v>
      </c>
      <c r="J31" s="53">
        <v>12.99</v>
      </c>
      <c r="K31" s="53">
        <v>12.27</v>
      </c>
      <c r="L31" s="53">
        <v>11.32</v>
      </c>
      <c r="M31" s="53">
        <v>11.35</v>
      </c>
      <c r="N31" s="53">
        <v>11.45</v>
      </c>
      <c r="O31" s="53">
        <v>11.69</v>
      </c>
      <c r="P31" s="53">
        <v>12.1</v>
      </c>
      <c r="Q31" s="53">
        <v>11.59</v>
      </c>
      <c r="R31" s="53"/>
      <c r="S31" s="53">
        <f t="shared" si="2"/>
        <v>29</v>
      </c>
      <c r="T31" s="53">
        <v>13</v>
      </c>
      <c r="V31">
        <v>323</v>
      </c>
      <c r="W31">
        <f t="shared" si="10"/>
        <v>6</v>
      </c>
      <c r="X31">
        <f t="shared" ref="X31:AD31" si="14">X8</f>
        <v>31.045999999999999</v>
      </c>
      <c r="Y31">
        <f t="shared" si="14"/>
        <v>30.951000000000001</v>
      </c>
      <c r="Z31">
        <f t="shared" si="14"/>
        <v>31.254000000000001</v>
      </c>
      <c r="AA31">
        <f t="shared" si="14"/>
        <v>33.393999999999998</v>
      </c>
      <c r="AB31">
        <f t="shared" si="14"/>
        <v>30.684000000000001</v>
      </c>
      <c r="AC31">
        <f t="shared" si="14"/>
        <v>33.898000000000003</v>
      </c>
      <c r="AD31">
        <f t="shared" si="14"/>
        <v>34.54</v>
      </c>
      <c r="AE31">
        <f t="shared" si="8"/>
        <v>36.011000000000003</v>
      </c>
      <c r="AF31">
        <f t="shared" si="8"/>
        <v>35.299999999999997</v>
      </c>
      <c r="AG31">
        <f t="shared" si="8"/>
        <v>32.374000000000002</v>
      </c>
      <c r="AH31">
        <f t="shared" si="8"/>
        <v>32.944000000000003</v>
      </c>
      <c r="AI31">
        <f t="shared" si="8"/>
        <v>35.151000000000003</v>
      </c>
      <c r="AJ31">
        <f t="shared" si="8"/>
        <v>36.296999999999997</v>
      </c>
      <c r="AK31">
        <f t="shared" si="8"/>
        <v>36.463999999999999</v>
      </c>
      <c r="AL31">
        <f t="shared" si="8"/>
        <v>42.9</v>
      </c>
      <c r="AM31" s="6">
        <f>'ASM2'!AG28</f>
        <v>42.249089999999995</v>
      </c>
      <c r="AN31" s="6">
        <f>'ASM2'!AH28</f>
        <v>45.046247599999994</v>
      </c>
      <c r="AO31" s="6">
        <f>'ASM2'!AI28</f>
        <v>51.207466600000004</v>
      </c>
      <c r="AP31">
        <f t="shared" si="9"/>
        <v>15008.050000000001</v>
      </c>
    </row>
    <row r="32" spans="1:49" x14ac:dyDescent="0.2">
      <c r="A32" s="54" t="s">
        <v>189</v>
      </c>
      <c r="B32" s="53">
        <v>2.9409999999999998</v>
      </c>
      <c r="C32" s="53">
        <v>2.996</v>
      </c>
      <c r="D32" s="53">
        <v>3.105</v>
      </c>
      <c r="E32" s="53">
        <v>3.2469999999999999</v>
      </c>
      <c r="F32" s="53">
        <v>3.0590000000000002</v>
      </c>
      <c r="G32" s="53">
        <v>2.972</v>
      </c>
      <c r="H32" s="53">
        <v>2.8039999999999998</v>
      </c>
      <c r="I32" s="53">
        <v>2.5760000000000001</v>
      </c>
      <c r="J32" s="53">
        <v>2.8069999999999999</v>
      </c>
      <c r="K32" s="53">
        <v>2.798</v>
      </c>
      <c r="L32" s="53">
        <v>2.8450000000000002</v>
      </c>
      <c r="M32" s="53">
        <v>3.0569999999999999</v>
      </c>
      <c r="N32" s="53">
        <v>3.0659999999999998</v>
      </c>
      <c r="O32" s="53">
        <v>3.1890000000000001</v>
      </c>
      <c r="P32" s="53">
        <v>3.355</v>
      </c>
      <c r="Q32" s="53">
        <v>2.9390000000000001</v>
      </c>
      <c r="R32" s="53"/>
      <c r="S32" s="53">
        <f t="shared" si="2"/>
        <v>30</v>
      </c>
      <c r="T32" s="53">
        <v>13</v>
      </c>
      <c r="V32">
        <v>324</v>
      </c>
      <c r="W32">
        <f t="shared" si="10"/>
        <v>7</v>
      </c>
      <c r="X32">
        <f t="shared" ref="X32:AD32" si="15">X9</f>
        <v>74.986000000000004</v>
      </c>
      <c r="Y32">
        <f t="shared" si="15"/>
        <v>80.489000000000004</v>
      </c>
      <c r="Z32">
        <f t="shared" si="15"/>
        <v>84.679000000000002</v>
      </c>
      <c r="AA32">
        <f t="shared" si="15"/>
        <v>88.725999999999999</v>
      </c>
      <c r="AB32">
        <f t="shared" si="15"/>
        <v>92.944000000000003</v>
      </c>
      <c r="AC32">
        <f t="shared" si="15"/>
        <v>90.073999999999998</v>
      </c>
      <c r="AD32">
        <f t="shared" si="15"/>
        <v>94.558000000000007</v>
      </c>
      <c r="AE32">
        <f t="shared" si="8"/>
        <v>102.883</v>
      </c>
      <c r="AF32">
        <f t="shared" si="8"/>
        <v>103.254</v>
      </c>
      <c r="AG32">
        <f t="shared" si="8"/>
        <v>107.718</v>
      </c>
      <c r="AH32">
        <f t="shared" si="8"/>
        <v>109.90799999999999</v>
      </c>
      <c r="AI32">
        <f t="shared" si="8"/>
        <v>111.048</v>
      </c>
      <c r="AJ32">
        <f t="shared" si="8"/>
        <v>116.64</v>
      </c>
      <c r="AK32">
        <f t="shared" si="8"/>
        <v>114.111</v>
      </c>
      <c r="AL32">
        <f t="shared" si="8"/>
        <v>118.72799999999999</v>
      </c>
      <c r="AM32" s="6">
        <f>'ASM2'!AG29</f>
        <v>119.877208</v>
      </c>
      <c r="AN32" s="6">
        <f>'ASM2'!AH29</f>
        <v>126.45008479999998</v>
      </c>
      <c r="AO32" s="6">
        <f>'ASM2'!AI29</f>
        <v>114.11706960000001</v>
      </c>
      <c r="AP32">
        <f t="shared" si="9"/>
        <v>33445.800000000003</v>
      </c>
    </row>
    <row r="33" spans="1:51" x14ac:dyDescent="0.2">
      <c r="A33" s="54" t="s">
        <v>190</v>
      </c>
      <c r="B33" s="53">
        <v>12.44</v>
      </c>
      <c r="C33" s="53">
        <v>12.75</v>
      </c>
      <c r="D33" s="53">
        <v>12.48</v>
      </c>
      <c r="E33" s="53">
        <v>12.75</v>
      </c>
      <c r="F33" s="53">
        <v>12.79</v>
      </c>
      <c r="G33" s="53">
        <v>13.17</v>
      </c>
      <c r="H33" s="53">
        <v>11.27</v>
      </c>
      <c r="I33" s="53">
        <v>9.9619999999999997</v>
      </c>
      <c r="J33" s="53">
        <v>11.06</v>
      </c>
      <c r="K33" s="53">
        <v>11.36</v>
      </c>
      <c r="L33" s="53">
        <v>12.01</v>
      </c>
      <c r="M33" s="53">
        <v>14.31</v>
      </c>
      <c r="N33" s="53">
        <v>15.18</v>
      </c>
      <c r="O33" s="53">
        <v>16.170000000000002</v>
      </c>
      <c r="P33" s="53">
        <v>16.25</v>
      </c>
      <c r="Q33" s="53">
        <v>16.04</v>
      </c>
      <c r="R33" s="53"/>
      <c r="S33" s="53">
        <f t="shared" si="2"/>
        <v>31</v>
      </c>
      <c r="T33" s="53">
        <v>13</v>
      </c>
      <c r="V33">
        <v>325</v>
      </c>
      <c r="W33">
        <f t="shared" si="10"/>
        <v>8</v>
      </c>
      <c r="X33">
        <f t="shared" ref="X33:AD33" si="16">X10</f>
        <v>302.95900000000006</v>
      </c>
      <c r="Y33">
        <f t="shared" si="16"/>
        <v>334.37799999999999</v>
      </c>
      <c r="Z33">
        <f t="shared" si="16"/>
        <v>383.20000000000005</v>
      </c>
      <c r="AA33">
        <f t="shared" si="16"/>
        <v>409.428</v>
      </c>
      <c r="AB33">
        <f t="shared" si="16"/>
        <v>410.21499999999997</v>
      </c>
      <c r="AC33">
        <f t="shared" si="16"/>
        <v>414.42500000000007</v>
      </c>
      <c r="AD33">
        <f t="shared" si="16"/>
        <v>471.72199999999998</v>
      </c>
      <c r="AE33">
        <f t="shared" si="8"/>
        <v>485.14700000000005</v>
      </c>
      <c r="AF33">
        <f t="shared" si="8"/>
        <v>478.25100000000003</v>
      </c>
      <c r="AG33">
        <f t="shared" si="8"/>
        <v>478.37899999999996</v>
      </c>
      <c r="AH33">
        <f t="shared" si="8"/>
        <v>438.97400000000005</v>
      </c>
      <c r="AI33">
        <f t="shared" si="8"/>
        <v>436.78099999999995</v>
      </c>
      <c r="AJ33">
        <f t="shared" si="8"/>
        <v>398.42</v>
      </c>
      <c r="AK33">
        <f t="shared" si="8"/>
        <v>422.34299999999996</v>
      </c>
      <c r="AL33">
        <f t="shared" si="8"/>
        <v>454.23599999999993</v>
      </c>
      <c r="AM33" s="6">
        <f>'ASM2'!AG30</f>
        <v>429.44284999999991</v>
      </c>
      <c r="AN33" s="6">
        <f>'ASM2'!AH30</f>
        <v>408.37272640000003</v>
      </c>
      <c r="AO33" s="6">
        <f>'ASM2'!AI30</f>
        <v>424.05530199999998</v>
      </c>
      <c r="AP33">
        <f t="shared" si="9"/>
        <v>124283.5</v>
      </c>
    </row>
    <row r="34" spans="1:51" x14ac:dyDescent="0.2">
      <c r="A34" s="54" t="s">
        <v>191</v>
      </c>
      <c r="B34" s="53">
        <v>7.4109999999999996</v>
      </c>
      <c r="C34" s="53">
        <v>6.8680000000000003</v>
      </c>
      <c r="D34" s="53">
        <v>7.1689999999999996</v>
      </c>
      <c r="E34" s="53">
        <v>6.7770000000000001</v>
      </c>
      <c r="F34" s="53">
        <v>6.5940000000000003</v>
      </c>
      <c r="G34" s="53">
        <v>6.5869999999999997</v>
      </c>
      <c r="H34" s="53">
        <v>7.0789999999999997</v>
      </c>
      <c r="I34" s="53">
        <v>5.9809999999999999</v>
      </c>
      <c r="J34" s="53">
        <v>6.7549999999999999</v>
      </c>
      <c r="K34" s="53">
        <v>7.3159999999999998</v>
      </c>
      <c r="L34" s="53">
        <v>7.1909999999999998</v>
      </c>
      <c r="M34" s="53">
        <v>8.4190000000000005</v>
      </c>
      <c r="N34" s="53">
        <v>8.7949999999999999</v>
      </c>
      <c r="O34" s="53">
        <v>8.6630000000000003</v>
      </c>
      <c r="P34" s="53">
        <v>8.9939999999999998</v>
      </c>
      <c r="Q34" s="53">
        <v>9.1980000000000004</v>
      </c>
      <c r="R34" s="53"/>
      <c r="S34" s="53">
        <f t="shared" si="2"/>
        <v>32</v>
      </c>
      <c r="T34" s="53">
        <v>13</v>
      </c>
      <c r="V34">
        <v>326</v>
      </c>
      <c r="W34">
        <f t="shared" si="10"/>
        <v>9</v>
      </c>
      <c r="X34">
        <f t="shared" ref="X34:AD34" si="17">X11</f>
        <v>50.732999999999997</v>
      </c>
      <c r="Y34">
        <f t="shared" si="17"/>
        <v>55.055999999999997</v>
      </c>
      <c r="Z34">
        <f t="shared" si="17"/>
        <v>61.726999999999997</v>
      </c>
      <c r="AA34">
        <f t="shared" si="17"/>
        <v>68.227000000000004</v>
      </c>
      <c r="AB34">
        <f t="shared" si="17"/>
        <v>64.739999999999995</v>
      </c>
      <c r="AC34">
        <f t="shared" si="17"/>
        <v>64.122</v>
      </c>
      <c r="AD34">
        <f t="shared" si="17"/>
        <v>67.387</v>
      </c>
      <c r="AE34">
        <f t="shared" si="8"/>
        <v>76.965000000000003</v>
      </c>
      <c r="AF34">
        <f t="shared" si="8"/>
        <v>78.375</v>
      </c>
      <c r="AG34">
        <f t="shared" si="8"/>
        <v>77.924999999999997</v>
      </c>
      <c r="AH34">
        <f t="shared" si="8"/>
        <v>73.906999999999996</v>
      </c>
      <c r="AI34">
        <f t="shared" si="8"/>
        <v>78.180000000000007</v>
      </c>
      <c r="AJ34">
        <f t="shared" si="8"/>
        <v>105.07899999999999</v>
      </c>
      <c r="AK34">
        <f t="shared" si="8"/>
        <v>109.32</v>
      </c>
      <c r="AL34">
        <f t="shared" si="8"/>
        <v>100.827</v>
      </c>
      <c r="AM34" s="6">
        <f>'ASM2'!AG31</f>
        <v>102.70972999999999</v>
      </c>
      <c r="AN34" s="6">
        <f>'ASM2'!AH31</f>
        <v>106.52741680000001</v>
      </c>
      <c r="AO34" s="6">
        <f>'ASM2'!AI31</f>
        <v>112.86896</v>
      </c>
      <c r="AP34">
        <f t="shared" si="9"/>
        <v>33080</v>
      </c>
    </row>
    <row r="35" spans="1:51" x14ac:dyDescent="0.2">
      <c r="A35" s="54" t="s">
        <v>192</v>
      </c>
      <c r="B35" s="53">
        <v>14.55</v>
      </c>
      <c r="C35" s="53">
        <v>15.53</v>
      </c>
      <c r="D35" s="53">
        <v>16.170000000000002</v>
      </c>
      <c r="E35" s="53">
        <v>16.579999999999998</v>
      </c>
      <c r="F35" s="53">
        <v>16.61</v>
      </c>
      <c r="G35" s="53">
        <v>16.829999999999998</v>
      </c>
      <c r="H35" s="53">
        <v>16.190000000000001</v>
      </c>
      <c r="I35" s="53">
        <v>15.38</v>
      </c>
      <c r="J35" s="53">
        <v>16.93</v>
      </c>
      <c r="K35" s="53">
        <v>16.48</v>
      </c>
      <c r="L35" s="53">
        <v>16.82</v>
      </c>
      <c r="M35" s="53">
        <v>16.440000000000001</v>
      </c>
      <c r="N35" s="53">
        <v>17.23</v>
      </c>
      <c r="O35" s="53">
        <v>18.010000000000002</v>
      </c>
      <c r="P35" s="53">
        <v>18.62</v>
      </c>
      <c r="Q35" s="53">
        <v>18.079999999999998</v>
      </c>
      <c r="R35" s="53"/>
      <c r="S35" s="53">
        <f t="shared" si="2"/>
        <v>33</v>
      </c>
      <c r="T35" s="53">
        <v>13</v>
      </c>
      <c r="V35">
        <v>327</v>
      </c>
      <c r="W35">
        <f t="shared" si="10"/>
        <v>10</v>
      </c>
      <c r="X35">
        <f t="shared" ref="X35:AD35" si="18">X12</f>
        <v>82.947000000000003</v>
      </c>
      <c r="Y35">
        <f t="shared" si="18"/>
        <v>85.207999999999998</v>
      </c>
      <c r="Z35">
        <f t="shared" si="18"/>
        <v>92.849000000000004</v>
      </c>
      <c r="AA35">
        <f t="shared" si="18"/>
        <v>97.75800000000001</v>
      </c>
      <c r="AB35">
        <f t="shared" si="18"/>
        <v>98.996000000000009</v>
      </c>
      <c r="AC35">
        <f t="shared" si="18"/>
        <v>94.850999999999999</v>
      </c>
      <c r="AD35">
        <f t="shared" si="18"/>
        <v>99.754000000000005</v>
      </c>
      <c r="AE35">
        <f t="shared" si="8"/>
        <v>105.51599999999999</v>
      </c>
      <c r="AF35">
        <f t="shared" si="8"/>
        <v>111.75700000000001</v>
      </c>
      <c r="AG35">
        <f t="shared" si="8"/>
        <v>112.547</v>
      </c>
      <c r="AH35">
        <f t="shared" si="8"/>
        <v>104.08500000000001</v>
      </c>
      <c r="AI35">
        <f t="shared" si="8"/>
        <v>102.73099999999999</v>
      </c>
      <c r="AJ35">
        <f t="shared" si="8"/>
        <v>95.10499999999999</v>
      </c>
      <c r="AK35">
        <f t="shared" si="8"/>
        <v>95.356999999999999</v>
      </c>
      <c r="AL35">
        <f t="shared" si="8"/>
        <v>102.50700000000001</v>
      </c>
      <c r="AM35" s="6">
        <f>'ASM2'!AG32</f>
        <v>104.12332160000001</v>
      </c>
      <c r="AN35" s="6">
        <f>'ASM2'!AH32</f>
        <v>107.91610079999998</v>
      </c>
      <c r="AO35" s="6">
        <f>'ASM2'!AI32</f>
        <v>113.658838</v>
      </c>
      <c r="AP35">
        <f t="shared" si="9"/>
        <v>33311.5</v>
      </c>
    </row>
    <row r="36" spans="1:51" x14ac:dyDescent="0.2">
      <c r="A36" s="54" t="s">
        <v>193</v>
      </c>
      <c r="B36" s="53">
        <v>10.220000000000001</v>
      </c>
      <c r="C36" s="53">
        <v>10.19</v>
      </c>
      <c r="D36" s="53">
        <v>11.11</v>
      </c>
      <c r="E36" s="53">
        <v>10.93</v>
      </c>
      <c r="F36" s="53">
        <v>11.08</v>
      </c>
      <c r="G36" s="53">
        <v>11.02</v>
      </c>
      <c r="H36" s="53">
        <v>10.51</v>
      </c>
      <c r="I36" s="53">
        <v>10.210000000000001</v>
      </c>
      <c r="J36" s="53">
        <v>10.1</v>
      </c>
      <c r="K36" s="53">
        <v>8.9120000000000008</v>
      </c>
      <c r="L36" s="53">
        <v>8.2260000000000009</v>
      </c>
      <c r="M36" s="53">
        <v>12</v>
      </c>
      <c r="N36" s="53">
        <v>15.77</v>
      </c>
      <c r="O36" s="53">
        <v>16.670000000000002</v>
      </c>
      <c r="P36" s="53">
        <v>16.43</v>
      </c>
      <c r="Q36" s="53">
        <v>16.350000000000001</v>
      </c>
      <c r="R36" s="53"/>
      <c r="S36" s="53">
        <f t="shared" si="2"/>
        <v>34</v>
      </c>
      <c r="T36" s="53">
        <v>13</v>
      </c>
      <c r="V36">
        <v>331</v>
      </c>
      <c r="W36">
        <f t="shared" si="10"/>
        <v>11</v>
      </c>
      <c r="X36">
        <f t="shared" ref="X36:AD36" si="19">X13</f>
        <v>438.10699999999997</v>
      </c>
      <c r="Y36">
        <f t="shared" si="19"/>
        <v>422.35500000000002</v>
      </c>
      <c r="Z36">
        <f t="shared" si="19"/>
        <v>451.74899999999997</v>
      </c>
      <c r="AA36">
        <f t="shared" si="19"/>
        <v>531.92399999999998</v>
      </c>
      <c r="AB36">
        <f t="shared" si="19"/>
        <v>578.28399999999999</v>
      </c>
      <c r="AC36">
        <f t="shared" si="19"/>
        <v>490</v>
      </c>
      <c r="AD36">
        <f t="shared" si="19"/>
        <v>527.28300000000002</v>
      </c>
      <c r="AE36">
        <f t="shared" si="8"/>
        <v>561.72199999999998</v>
      </c>
      <c r="AF36">
        <f t="shared" si="8"/>
        <v>586.50800000000004</v>
      </c>
      <c r="AG36">
        <f t="shared" si="8"/>
        <v>610.57499999999993</v>
      </c>
      <c r="AH36">
        <f t="shared" si="8"/>
        <v>575.89199999999994</v>
      </c>
      <c r="AI36">
        <f t="shared" si="8"/>
        <v>581.00900000000001</v>
      </c>
      <c r="AJ36">
        <f t="shared" si="8"/>
        <v>420.41399999999999</v>
      </c>
      <c r="AK36">
        <f t="shared" si="8"/>
        <v>410.464</v>
      </c>
      <c r="AL36">
        <f t="shared" si="8"/>
        <v>490.024</v>
      </c>
      <c r="AM36" s="6">
        <f>'ASM2'!AG33</f>
        <v>454.3153064</v>
      </c>
      <c r="AN36" s="6">
        <f>'ASM2'!AH33</f>
        <v>428.01424559999998</v>
      </c>
      <c r="AO36" s="6">
        <f>'ASM2'!AI33</f>
        <v>445.84160439999999</v>
      </c>
      <c r="AP36">
        <f t="shared" si="9"/>
        <v>130668.7</v>
      </c>
    </row>
    <row r="37" spans="1:51" x14ac:dyDescent="0.2">
      <c r="A37" s="54" t="s">
        <v>194</v>
      </c>
      <c r="B37" s="53">
        <v>10.050000000000001</v>
      </c>
      <c r="C37" s="53">
        <v>9.5609999999999999</v>
      </c>
      <c r="D37" s="53">
        <v>11.25</v>
      </c>
      <c r="E37" s="53">
        <v>12.49</v>
      </c>
      <c r="F37" s="53">
        <v>14.19</v>
      </c>
      <c r="G37" s="53">
        <v>15.54</v>
      </c>
      <c r="H37" s="53">
        <v>17.600000000000001</v>
      </c>
      <c r="I37" s="53">
        <v>20.48</v>
      </c>
      <c r="J37" s="53">
        <v>17.399999999999999</v>
      </c>
      <c r="K37" s="53">
        <v>20.69</v>
      </c>
      <c r="L37" s="53">
        <v>21.38</v>
      </c>
      <c r="M37" s="53">
        <v>21.15</v>
      </c>
      <c r="N37" s="53">
        <v>20.39</v>
      </c>
      <c r="O37" s="53">
        <v>21.62</v>
      </c>
      <c r="P37" s="53">
        <v>20.58</v>
      </c>
      <c r="Q37" s="53">
        <v>20.309999999999999</v>
      </c>
      <c r="R37" s="53"/>
      <c r="S37" s="53">
        <f t="shared" si="2"/>
        <v>35</v>
      </c>
      <c r="T37" s="53">
        <v>14</v>
      </c>
      <c r="V37">
        <v>332</v>
      </c>
      <c r="W37">
        <f t="shared" si="10"/>
        <v>12</v>
      </c>
      <c r="X37">
        <f t="shared" ref="X37:AD37" si="20">X14</f>
        <v>81.025999999999996</v>
      </c>
      <c r="Y37">
        <f t="shared" si="20"/>
        <v>78.26400000000001</v>
      </c>
      <c r="Z37">
        <f t="shared" si="20"/>
        <v>82.197000000000003</v>
      </c>
      <c r="AA37">
        <f t="shared" si="20"/>
        <v>87.38900000000001</v>
      </c>
      <c r="AB37">
        <f t="shared" si="20"/>
        <v>85.45</v>
      </c>
      <c r="AC37">
        <f t="shared" si="20"/>
        <v>83.230999999999995</v>
      </c>
      <c r="AD37">
        <f t="shared" si="20"/>
        <v>87.807000000000002</v>
      </c>
      <c r="AE37">
        <f t="shared" si="8"/>
        <v>89.830000000000013</v>
      </c>
      <c r="AF37">
        <f t="shared" si="8"/>
        <v>89.97</v>
      </c>
      <c r="AG37">
        <f t="shared" si="8"/>
        <v>89.721000000000004</v>
      </c>
      <c r="AH37">
        <f t="shared" si="8"/>
        <v>86.391000000000005</v>
      </c>
      <c r="AI37">
        <f t="shared" si="8"/>
        <v>87.13900000000001</v>
      </c>
      <c r="AJ37">
        <f t="shared" si="8"/>
        <v>87.114000000000004</v>
      </c>
      <c r="AK37">
        <f t="shared" si="8"/>
        <v>84.733000000000004</v>
      </c>
      <c r="AL37">
        <f t="shared" si="8"/>
        <v>103.63499999999999</v>
      </c>
      <c r="AM37" s="6">
        <f>'ASM2'!AG34</f>
        <v>95.447629199999994</v>
      </c>
      <c r="AN37" s="6">
        <f>'ASM2'!AH34</f>
        <v>93.285103599999999</v>
      </c>
      <c r="AO37" s="6">
        <f>'ASM2'!AI34</f>
        <v>107.30296439999998</v>
      </c>
      <c r="AP37">
        <f t="shared" si="9"/>
        <v>31448.699999999993</v>
      </c>
    </row>
    <row r="38" spans="1:51" x14ac:dyDescent="0.2">
      <c r="A38" s="54" t="s">
        <v>195</v>
      </c>
      <c r="B38" s="53">
        <v>8.5879999999999992</v>
      </c>
      <c r="C38" s="53">
        <v>9.6940000000000008</v>
      </c>
      <c r="D38" s="53">
        <v>10.78</v>
      </c>
      <c r="E38" s="53">
        <v>9.1820000000000004</v>
      </c>
      <c r="F38" s="53">
        <v>8.5839999999999996</v>
      </c>
      <c r="G38" s="53">
        <v>9.0239999999999991</v>
      </c>
      <c r="H38" s="53">
        <v>9.0589999999999993</v>
      </c>
      <c r="I38" s="53">
        <v>9.3160000000000007</v>
      </c>
      <c r="J38" s="53">
        <v>10.33</v>
      </c>
      <c r="K38" s="53">
        <v>9.9930000000000003</v>
      </c>
      <c r="L38" s="53">
        <v>10.11</v>
      </c>
      <c r="M38" s="53">
        <v>11.1</v>
      </c>
      <c r="N38" s="53">
        <v>10.99</v>
      </c>
      <c r="O38" s="53">
        <v>13.3</v>
      </c>
      <c r="P38" s="53">
        <v>14.22</v>
      </c>
      <c r="Q38" s="53">
        <v>13.77</v>
      </c>
      <c r="R38" s="53"/>
      <c r="S38" s="53">
        <f t="shared" si="2"/>
        <v>36</v>
      </c>
      <c r="T38" s="53">
        <v>13</v>
      </c>
      <c r="V38">
        <v>333</v>
      </c>
      <c r="W38">
        <f t="shared" si="10"/>
        <v>13</v>
      </c>
      <c r="X38">
        <f t="shared" ref="X38:AD38" si="21">X15</f>
        <v>70.444999999999993</v>
      </c>
      <c r="Y38">
        <f t="shared" si="21"/>
        <v>72.704000000000008</v>
      </c>
      <c r="Z38">
        <f t="shared" si="21"/>
        <v>78.063999999999993</v>
      </c>
      <c r="AA38">
        <f t="shared" si="21"/>
        <v>85.834999999999994</v>
      </c>
      <c r="AB38">
        <f t="shared" si="21"/>
        <v>84.206000000000017</v>
      </c>
      <c r="AC38">
        <f t="shared" si="21"/>
        <v>88.721000000000004</v>
      </c>
      <c r="AD38">
        <f t="shared" si="21"/>
        <v>91.431999999999988</v>
      </c>
      <c r="AE38">
        <f t="shared" si="8"/>
        <v>93.820000000000022</v>
      </c>
      <c r="AF38">
        <f t="shared" si="8"/>
        <v>98.093999999999994</v>
      </c>
      <c r="AG38">
        <f t="shared" si="8"/>
        <v>98.285000000000011</v>
      </c>
      <c r="AH38">
        <f t="shared" si="8"/>
        <v>97.370000000000019</v>
      </c>
      <c r="AI38">
        <f t="shared" si="8"/>
        <v>99.63900000000001</v>
      </c>
      <c r="AJ38">
        <f t="shared" si="8"/>
        <v>94.296999999999983</v>
      </c>
      <c r="AK38">
        <f t="shared" si="8"/>
        <v>87.561999999999998</v>
      </c>
      <c r="AL38">
        <f t="shared" si="8"/>
        <v>94.376999999999995</v>
      </c>
      <c r="AM38" s="6">
        <f>'ASM2'!AG35</f>
        <v>91.40918600000002</v>
      </c>
      <c r="AN38" s="6">
        <f>'ASM2'!AH35</f>
        <v>89.682031599999988</v>
      </c>
      <c r="AO38" s="6">
        <f>'ASM2'!AI35</f>
        <v>100.69016720000002</v>
      </c>
      <c r="AP38">
        <f t="shared" si="9"/>
        <v>29510.600000000006</v>
      </c>
    </row>
    <row r="39" spans="1:51" x14ac:dyDescent="0.2">
      <c r="A39" s="54" t="s">
        <v>196</v>
      </c>
      <c r="B39" s="53">
        <v>18.649999999999999</v>
      </c>
      <c r="C39" s="53">
        <v>19.850000000000001</v>
      </c>
      <c r="D39" s="53">
        <v>20.73</v>
      </c>
      <c r="E39" s="53">
        <v>22.38</v>
      </c>
      <c r="F39" s="53">
        <v>21.14</v>
      </c>
      <c r="G39" s="53">
        <v>20.56</v>
      </c>
      <c r="H39" s="53">
        <v>19.93</v>
      </c>
      <c r="I39" s="53">
        <v>19.64</v>
      </c>
      <c r="J39" s="53">
        <v>21.23</v>
      </c>
      <c r="K39" s="53">
        <v>19.93</v>
      </c>
      <c r="L39" s="53">
        <v>19.760000000000002</v>
      </c>
      <c r="M39" s="53">
        <v>18.66</v>
      </c>
      <c r="N39" s="53">
        <v>18.829999999999998</v>
      </c>
      <c r="O39" s="53">
        <v>19.510000000000002</v>
      </c>
      <c r="P39" s="53">
        <v>19.239999999999998</v>
      </c>
      <c r="Q39" s="53">
        <v>18.72</v>
      </c>
      <c r="R39" s="53"/>
      <c r="S39" s="53">
        <f t="shared" si="2"/>
        <v>37</v>
      </c>
      <c r="T39" s="53">
        <v>15</v>
      </c>
      <c r="V39">
        <v>334</v>
      </c>
      <c r="W39">
        <f t="shared" si="10"/>
        <v>14</v>
      </c>
      <c r="X39">
        <f t="shared" ref="X39:AD39" si="22">X16</f>
        <v>54.903000000000006</v>
      </c>
      <c r="Y39">
        <f t="shared" si="22"/>
        <v>55.341000000000001</v>
      </c>
      <c r="Z39">
        <f t="shared" si="22"/>
        <v>59.051000000000002</v>
      </c>
      <c r="AA39">
        <f t="shared" si="22"/>
        <v>61.929000000000002</v>
      </c>
      <c r="AB39">
        <f t="shared" si="22"/>
        <v>58.358000000000004</v>
      </c>
      <c r="AC39">
        <f t="shared" si="22"/>
        <v>59.557999999999993</v>
      </c>
      <c r="AD39">
        <f t="shared" si="22"/>
        <v>58.942999999999998</v>
      </c>
      <c r="AE39">
        <f t="shared" si="8"/>
        <v>61.381</v>
      </c>
      <c r="AF39">
        <f t="shared" si="8"/>
        <v>65.203000000000003</v>
      </c>
      <c r="AG39">
        <f t="shared" si="8"/>
        <v>69.849999999999994</v>
      </c>
      <c r="AH39">
        <f t="shared" si="8"/>
        <v>74.441000000000003</v>
      </c>
      <c r="AI39">
        <f t="shared" si="8"/>
        <v>79.381</v>
      </c>
      <c r="AJ39">
        <f t="shared" si="8"/>
        <v>84.745000000000005</v>
      </c>
      <c r="AK39">
        <f t="shared" si="8"/>
        <v>88.852999999999994</v>
      </c>
      <c r="AL39">
        <f t="shared" si="8"/>
        <v>96.534000000000006</v>
      </c>
      <c r="AM39" s="6">
        <f>'ASM2'!AG36</f>
        <v>101.92428760000001</v>
      </c>
      <c r="AN39" s="6">
        <f>'ASM2'!AH36</f>
        <v>106.58234999999999</v>
      </c>
      <c r="AO39" s="6">
        <f>'ASM2'!AI36</f>
        <v>114.093868</v>
      </c>
      <c r="AP39">
        <f t="shared" si="9"/>
        <v>33439</v>
      </c>
    </row>
    <row r="40" spans="1:51" x14ac:dyDescent="0.2">
      <c r="A40" s="54" t="s">
        <v>197</v>
      </c>
      <c r="B40" s="53">
        <v>8.68</v>
      </c>
      <c r="C40" s="53">
        <v>9.2569999999999997</v>
      </c>
      <c r="D40" s="53">
        <v>9.3019999999999996</v>
      </c>
      <c r="E40" s="53">
        <v>9.0510000000000002</v>
      </c>
      <c r="F40" s="53">
        <v>8.484</v>
      </c>
      <c r="G40" s="53">
        <v>8.16</v>
      </c>
      <c r="H40" s="53">
        <v>8.35</v>
      </c>
      <c r="I40" s="53">
        <v>8.2240000000000002</v>
      </c>
      <c r="J40" s="53">
        <v>8.8520000000000003</v>
      </c>
      <c r="K40" s="53">
        <v>8.2469999999999999</v>
      </c>
      <c r="L40" s="53">
        <v>8.4499999999999993</v>
      </c>
      <c r="M40" s="53">
        <v>8.4719999999999995</v>
      </c>
      <c r="N40" s="53">
        <v>8.4559999999999995</v>
      </c>
      <c r="O40" s="53">
        <v>8.3640000000000008</v>
      </c>
      <c r="P40" s="53">
        <v>8.6829999999999998</v>
      </c>
      <c r="Q40" s="53">
        <v>8.0180000000000007</v>
      </c>
      <c r="R40" s="53"/>
      <c r="S40" s="53">
        <f t="shared" si="2"/>
        <v>38</v>
      </c>
      <c r="T40" s="53">
        <v>15</v>
      </c>
      <c r="V40">
        <v>335</v>
      </c>
      <c r="W40">
        <f t="shared" si="10"/>
        <v>15</v>
      </c>
      <c r="X40">
        <f t="shared" ref="X40:AD40" si="23">X17</f>
        <v>41.742000000000004</v>
      </c>
      <c r="Y40">
        <f t="shared" si="23"/>
        <v>41.059000000000005</v>
      </c>
      <c r="Z40">
        <f t="shared" si="23"/>
        <v>43.981999999999999</v>
      </c>
      <c r="AA40">
        <f t="shared" si="23"/>
        <v>47.395000000000003</v>
      </c>
      <c r="AB40">
        <f t="shared" si="23"/>
        <v>45.849000000000004</v>
      </c>
      <c r="AC40">
        <f t="shared" si="23"/>
        <v>42.866</v>
      </c>
      <c r="AD40">
        <f t="shared" si="23"/>
        <v>43.198999999999998</v>
      </c>
      <c r="AE40">
        <f t="shared" si="8"/>
        <v>46.016999999999996</v>
      </c>
      <c r="AF40">
        <f t="shared" si="8"/>
        <v>47.624000000000002</v>
      </c>
      <c r="AG40">
        <f t="shared" si="8"/>
        <v>48.644999999999996</v>
      </c>
      <c r="AH40">
        <f t="shared" si="8"/>
        <v>45.695</v>
      </c>
      <c r="AI40">
        <f t="shared" si="8"/>
        <v>45.230000000000004</v>
      </c>
      <c r="AJ40">
        <f t="shared" si="8"/>
        <v>45.438999999999993</v>
      </c>
      <c r="AK40">
        <f t="shared" si="8"/>
        <v>45.958999999999996</v>
      </c>
      <c r="AL40">
        <f t="shared" si="8"/>
        <v>49.015000000000001</v>
      </c>
      <c r="AM40" s="6">
        <f>'ASM2'!AG37</f>
        <v>46.962085600000002</v>
      </c>
      <c r="AN40" s="6">
        <f>'ASM2'!AH37</f>
        <v>47.870360000000005</v>
      </c>
      <c r="AO40" s="6">
        <f>'ASM2'!AI37</f>
        <v>50.752476399999999</v>
      </c>
      <c r="AP40">
        <f t="shared" si="9"/>
        <v>14874.7</v>
      </c>
      <c r="AW40">
        <v>1985</v>
      </c>
      <c r="AX40">
        <v>1986</v>
      </c>
      <c r="AY40">
        <v>1987</v>
      </c>
    </row>
    <row r="41" spans="1:51" x14ac:dyDescent="0.2">
      <c r="A41" s="54" t="s">
        <v>198</v>
      </c>
      <c r="B41" s="53">
        <v>7.9059999999999997</v>
      </c>
      <c r="C41" s="53">
        <v>7.96</v>
      </c>
      <c r="D41" s="53">
        <v>8.0050000000000008</v>
      </c>
      <c r="E41" s="53">
        <v>7.923</v>
      </c>
      <c r="F41" s="53">
        <v>7.6180000000000003</v>
      </c>
      <c r="G41" s="53">
        <v>7.8090000000000002</v>
      </c>
      <c r="H41" s="53">
        <v>8.6069999999999993</v>
      </c>
      <c r="I41" s="53">
        <v>9.4</v>
      </c>
      <c r="J41" s="53">
        <v>8.9469999999999992</v>
      </c>
      <c r="K41" s="53">
        <v>9.0990000000000002</v>
      </c>
      <c r="L41" s="53">
        <v>9.5</v>
      </c>
      <c r="M41" s="53">
        <v>10.050000000000001</v>
      </c>
      <c r="N41" s="53">
        <v>10.59</v>
      </c>
      <c r="O41" s="53">
        <v>10.35</v>
      </c>
      <c r="P41" s="53">
        <v>10.64</v>
      </c>
      <c r="Q41" s="53">
        <v>10.25</v>
      </c>
      <c r="R41" s="53"/>
      <c r="S41" s="53">
        <f t="shared" si="2"/>
        <v>39</v>
      </c>
      <c r="T41" s="53">
        <v>15</v>
      </c>
      <c r="V41">
        <v>336</v>
      </c>
      <c r="W41">
        <f t="shared" si="10"/>
        <v>16</v>
      </c>
      <c r="X41">
        <f t="shared" ref="X41:AD41" si="24">X18</f>
        <v>94.828000000000003</v>
      </c>
      <c r="Y41">
        <f t="shared" si="24"/>
        <v>99.453000000000003</v>
      </c>
      <c r="Z41">
        <f t="shared" si="24"/>
        <v>102.69500000000001</v>
      </c>
      <c r="AA41">
        <f t="shared" si="24"/>
        <v>110.53400000000001</v>
      </c>
      <c r="AB41">
        <f t="shared" si="24"/>
        <v>97.158000000000001</v>
      </c>
      <c r="AC41">
        <f t="shared" si="24"/>
        <v>94.734999999999985</v>
      </c>
      <c r="AD41">
        <f t="shared" si="24"/>
        <v>101.16199999999999</v>
      </c>
      <c r="AE41">
        <f t="shared" si="8"/>
        <v>106.03100000000001</v>
      </c>
      <c r="AF41">
        <f t="shared" si="8"/>
        <v>108.398</v>
      </c>
      <c r="AG41">
        <f t="shared" si="8"/>
        <v>109.09099999999999</v>
      </c>
      <c r="AH41">
        <f t="shared" si="8"/>
        <v>102.25</v>
      </c>
      <c r="AI41">
        <f t="shared" si="8"/>
        <v>102.67</v>
      </c>
      <c r="AJ41">
        <f t="shared" si="8"/>
        <v>98.322999999999993</v>
      </c>
      <c r="AK41">
        <f t="shared" si="8"/>
        <v>103.94</v>
      </c>
      <c r="AL41">
        <f t="shared" si="8"/>
        <v>114.241</v>
      </c>
      <c r="AM41" s="8">
        <f>AW41*3.412*0.001</f>
        <v>117.838538</v>
      </c>
      <c r="AN41" s="8">
        <f>AX41*3.412*0.001</f>
        <v>122.2557132</v>
      </c>
      <c r="AO41" s="8">
        <f>AY41*3.412*0.001</f>
        <v>130.6492332</v>
      </c>
      <c r="AP41">
        <f t="shared" si="9"/>
        <v>38291.1</v>
      </c>
      <c r="AS41" t="s">
        <v>26</v>
      </c>
      <c r="AW41">
        <v>34536.5</v>
      </c>
      <c r="AX41">
        <v>35831.1</v>
      </c>
      <c r="AY41">
        <v>38291.1</v>
      </c>
    </row>
    <row r="42" spans="1:51" x14ac:dyDescent="0.2">
      <c r="A42" s="54" t="s">
        <v>199</v>
      </c>
      <c r="B42" s="53">
        <v>18.079999999999998</v>
      </c>
      <c r="C42" s="53">
        <v>18.96</v>
      </c>
      <c r="D42" s="53">
        <v>19.8</v>
      </c>
      <c r="E42" s="53">
        <v>20.170000000000002</v>
      </c>
      <c r="F42" s="53">
        <v>21.23</v>
      </c>
      <c r="G42" s="53">
        <v>22.21</v>
      </c>
      <c r="H42" s="53">
        <v>23.29</v>
      </c>
      <c r="I42" s="53">
        <v>23.56</v>
      </c>
      <c r="J42" s="53">
        <v>26.29</v>
      </c>
      <c r="K42" s="53">
        <v>28.35</v>
      </c>
      <c r="L42" s="53">
        <v>29.75</v>
      </c>
      <c r="M42" s="53">
        <v>12.53</v>
      </c>
      <c r="N42" s="53">
        <v>12.68</v>
      </c>
      <c r="O42" s="53">
        <v>13.37</v>
      </c>
      <c r="P42" s="53">
        <v>14.56</v>
      </c>
      <c r="Q42" s="53">
        <v>14.84</v>
      </c>
      <c r="R42" s="53"/>
      <c r="S42" s="53">
        <f t="shared" si="2"/>
        <v>40</v>
      </c>
      <c r="T42" s="53">
        <v>14</v>
      </c>
      <c r="V42">
        <v>337</v>
      </c>
      <c r="W42">
        <f t="shared" si="10"/>
        <v>17</v>
      </c>
      <c r="X42">
        <f t="shared" ref="X42:AD42" si="25">X19</f>
        <v>11.567</v>
      </c>
      <c r="Y42">
        <f t="shared" si="25"/>
        <v>11.478</v>
      </c>
      <c r="Z42">
        <f t="shared" si="25"/>
        <v>11.827000000000002</v>
      </c>
      <c r="AA42">
        <f t="shared" si="25"/>
        <v>12.976000000000001</v>
      </c>
      <c r="AB42">
        <f t="shared" si="25"/>
        <v>13.696</v>
      </c>
      <c r="AC42">
        <f t="shared" si="25"/>
        <v>13.256</v>
      </c>
      <c r="AD42">
        <f t="shared" si="25"/>
        <v>13.541999999999998</v>
      </c>
      <c r="AE42">
        <f t="shared" si="8"/>
        <v>14.297000000000001</v>
      </c>
      <c r="AF42">
        <f t="shared" si="8"/>
        <v>14.518000000000001</v>
      </c>
      <c r="AG42">
        <f t="shared" si="8"/>
        <v>13.760000000000002</v>
      </c>
      <c r="AH42">
        <f t="shared" si="8"/>
        <v>13.483000000000001</v>
      </c>
      <c r="AI42">
        <f t="shared" si="8"/>
        <v>14.137</v>
      </c>
      <c r="AJ42">
        <f t="shared" si="8"/>
        <v>13.647</v>
      </c>
      <c r="AK42">
        <f t="shared" si="8"/>
        <v>14.561</v>
      </c>
      <c r="AL42">
        <f t="shared" si="8"/>
        <v>15.513999999999999</v>
      </c>
      <c r="AM42" s="6">
        <f>'ASM2'!AG39</f>
        <v>15.2693824</v>
      </c>
      <c r="AN42" s="6">
        <f>'ASM2'!AH39</f>
        <v>15.963042</v>
      </c>
      <c r="AO42" s="6">
        <f>'ASM2'!AI39</f>
        <v>19.492073600000001</v>
      </c>
      <c r="AP42">
        <f t="shared" si="9"/>
        <v>5712.8</v>
      </c>
    </row>
    <row r="43" spans="1:51" x14ac:dyDescent="0.2">
      <c r="A43" s="54" t="s">
        <v>200</v>
      </c>
      <c r="B43" s="53">
        <v>19.62</v>
      </c>
      <c r="C43" s="53">
        <v>20.49</v>
      </c>
      <c r="D43" s="53">
        <v>21.48</v>
      </c>
      <c r="E43" s="53">
        <v>24.4</v>
      </c>
      <c r="F43" s="53">
        <v>25.82</v>
      </c>
      <c r="G43" s="53">
        <v>28.19</v>
      </c>
      <c r="H43" s="53">
        <v>29.81</v>
      </c>
      <c r="I43" s="53">
        <v>30.06</v>
      </c>
      <c r="J43" s="53">
        <v>36.65</v>
      </c>
      <c r="K43" s="53">
        <v>36.67</v>
      </c>
      <c r="L43" s="53">
        <v>38.17</v>
      </c>
      <c r="M43" s="53">
        <v>43.66</v>
      </c>
      <c r="N43" s="53">
        <v>44.84</v>
      </c>
      <c r="O43" s="53">
        <v>46.57</v>
      </c>
      <c r="P43" s="53">
        <v>48.52</v>
      </c>
      <c r="Q43" s="53">
        <v>48.31</v>
      </c>
      <c r="R43" s="53"/>
      <c r="S43" s="53">
        <f t="shared" si="2"/>
        <v>41</v>
      </c>
      <c r="T43" s="53">
        <v>14</v>
      </c>
      <c r="V43">
        <v>339</v>
      </c>
      <c r="W43">
        <f t="shared" si="10"/>
        <v>18</v>
      </c>
      <c r="X43">
        <f t="shared" ref="X43:AD43" si="26">X20</f>
        <v>11.228999999999999</v>
      </c>
      <c r="Y43">
        <f t="shared" si="26"/>
        <v>12.727</v>
      </c>
      <c r="Z43">
        <f t="shared" si="26"/>
        <v>14.259</v>
      </c>
      <c r="AA43">
        <f t="shared" si="26"/>
        <v>14.273</v>
      </c>
      <c r="AB43">
        <f t="shared" si="26"/>
        <v>13.500999999999999</v>
      </c>
      <c r="AC43">
        <f t="shared" si="26"/>
        <v>13.026999999999999</v>
      </c>
      <c r="AD43">
        <f t="shared" si="26"/>
        <v>12.7</v>
      </c>
      <c r="AE43">
        <f t="shared" ref="AE43:AL43" si="27">AE20</f>
        <v>14.068</v>
      </c>
      <c r="AF43">
        <f t="shared" si="27"/>
        <v>13.611000000000001</v>
      </c>
      <c r="AG43">
        <f t="shared" si="27"/>
        <v>12.603</v>
      </c>
      <c r="AH43">
        <f t="shared" si="27"/>
        <v>12.353999999999999</v>
      </c>
      <c r="AI43">
        <f t="shared" si="27"/>
        <v>12.388</v>
      </c>
      <c r="AJ43">
        <f t="shared" si="27"/>
        <v>12.462999999999999</v>
      </c>
      <c r="AK43">
        <f t="shared" si="27"/>
        <v>12.375999999999999</v>
      </c>
      <c r="AL43">
        <f t="shared" si="27"/>
        <v>12.654999999999999</v>
      </c>
      <c r="AM43" s="6">
        <f>'ASM2'!AG40</f>
        <v>11.8935496</v>
      </c>
      <c r="AN43" s="6">
        <f>'ASM2'!AH40</f>
        <v>12.127954000000001</v>
      </c>
      <c r="AO43" s="6">
        <f>'ASM2'!AI40</f>
        <v>15.821102799999998</v>
      </c>
      <c r="AP43">
        <f t="shared" si="9"/>
        <v>4636.8999999999996</v>
      </c>
    </row>
    <row r="44" spans="1:51" x14ac:dyDescent="0.2">
      <c r="A44" s="54" t="s">
        <v>201</v>
      </c>
      <c r="B44" s="53">
        <v>7.9640000000000004</v>
      </c>
      <c r="C44" s="53">
        <v>8.9459999999999997</v>
      </c>
      <c r="D44" s="53">
        <v>9.5850000000000009</v>
      </c>
      <c r="E44" s="53">
        <v>9.2880000000000003</v>
      </c>
      <c r="F44" s="53">
        <v>8.4510000000000005</v>
      </c>
      <c r="G44" s="53">
        <v>8.7029999999999994</v>
      </c>
      <c r="H44" s="53">
        <v>8.5500000000000007</v>
      </c>
      <c r="I44" s="53">
        <v>8.6929999999999996</v>
      </c>
      <c r="J44" s="53">
        <v>9.9879999999999995</v>
      </c>
      <c r="K44" s="53">
        <v>9.6839999999999993</v>
      </c>
      <c r="L44" s="53">
        <v>10.16</v>
      </c>
      <c r="M44" s="53">
        <v>13.57</v>
      </c>
      <c r="N44" s="53">
        <v>14.59</v>
      </c>
      <c r="O44" s="53">
        <v>14.88</v>
      </c>
      <c r="P44" s="53">
        <v>13.71</v>
      </c>
      <c r="Q44" s="53">
        <v>13.35</v>
      </c>
      <c r="R44" s="53"/>
      <c r="S44" s="53">
        <f t="shared" si="2"/>
        <v>42</v>
      </c>
      <c r="T44" s="53">
        <v>15</v>
      </c>
    </row>
    <row r="45" spans="1:51" x14ac:dyDescent="0.2">
      <c r="A45" s="54" t="s">
        <v>202</v>
      </c>
      <c r="B45" s="53">
        <v>60.55</v>
      </c>
      <c r="C45" s="53">
        <v>65.790000000000006</v>
      </c>
      <c r="D45" s="53">
        <v>66.849999999999994</v>
      </c>
      <c r="E45" s="53">
        <v>64.59</v>
      </c>
      <c r="F45" s="53">
        <v>55.55</v>
      </c>
      <c r="G45" s="53">
        <v>57.95</v>
      </c>
      <c r="H45" s="53">
        <v>53.94</v>
      </c>
      <c r="I45" s="53">
        <v>59.33</v>
      </c>
      <c r="J45" s="53">
        <v>67</v>
      </c>
      <c r="K45" s="53">
        <v>68.17</v>
      </c>
      <c r="L45" s="53">
        <v>70</v>
      </c>
      <c r="M45" s="53">
        <v>74.7</v>
      </c>
      <c r="N45" s="53">
        <v>78.08</v>
      </c>
      <c r="O45" s="53">
        <v>75.62</v>
      </c>
      <c r="P45" s="53">
        <v>77.16</v>
      </c>
      <c r="Q45" s="53">
        <v>73.569999999999993</v>
      </c>
      <c r="R45" s="53"/>
      <c r="S45" s="53">
        <f t="shared" si="2"/>
        <v>43</v>
      </c>
      <c r="T45" s="53">
        <v>16</v>
      </c>
      <c r="X45" s="57">
        <f>SUM(X32:X36)+SUM(X26:X28)+X30</f>
        <v>1286.6529999999998</v>
      </c>
      <c r="Y45" s="57">
        <f t="shared" ref="Y45:AD45" si="28">SUM(Y32:Y36)+SUM(Y26:Y28)+Y30</f>
        <v>1324.75</v>
      </c>
      <c r="Z45" s="57">
        <f t="shared" si="28"/>
        <v>1441.84</v>
      </c>
      <c r="AA45" s="57">
        <f t="shared" si="28"/>
        <v>1578.165</v>
      </c>
      <c r="AB45" s="57">
        <f t="shared" si="28"/>
        <v>1632.6040000000003</v>
      </c>
      <c r="AC45" s="57">
        <f t="shared" si="28"/>
        <v>1540.4600000000003</v>
      </c>
      <c r="AD45" s="57">
        <f t="shared" si="28"/>
        <v>1669.9290000000001</v>
      </c>
      <c r="AE45">
        <f>SUM(AE26:AE44)</f>
        <v>2263.3820000000001</v>
      </c>
      <c r="AM45" s="5">
        <f>SUM(AM26:AM43)</f>
        <v>2240.7982447999998</v>
      </c>
      <c r="AN45" s="5">
        <f>SUM(AN26:AN43)</f>
        <v>2246.7569616000001</v>
      </c>
      <c r="AO45" s="5">
        <f>SUM(AO26:AO43)</f>
        <v>2376.4404282</v>
      </c>
    </row>
    <row r="46" spans="1:51" x14ac:dyDescent="0.2">
      <c r="A46" s="54" t="s">
        <v>203</v>
      </c>
      <c r="B46" s="53">
        <v>5.1040000000000001</v>
      </c>
      <c r="C46" s="53">
        <v>4.298</v>
      </c>
      <c r="D46" s="53">
        <v>4.0369999999999999</v>
      </c>
      <c r="E46" s="53">
        <v>4.0709999999999997</v>
      </c>
      <c r="F46" s="53">
        <v>3.9289999999999998</v>
      </c>
      <c r="G46" s="53">
        <v>3.992</v>
      </c>
      <c r="H46" s="53">
        <v>3.6659999999999999</v>
      </c>
      <c r="I46" s="53">
        <v>3.9830000000000001</v>
      </c>
      <c r="J46" s="53">
        <v>4.6449999999999996</v>
      </c>
      <c r="K46" s="53">
        <v>6.45</v>
      </c>
      <c r="L46" s="53">
        <v>7.5060000000000002</v>
      </c>
      <c r="M46" s="53">
        <v>7.7889999999999997</v>
      </c>
      <c r="N46" s="53">
        <v>8.0709999999999997</v>
      </c>
      <c r="O46" s="53">
        <v>8.7479999999999993</v>
      </c>
      <c r="P46" s="53">
        <v>8.6579999999999995</v>
      </c>
      <c r="Q46" s="53">
        <v>8.0730000000000004</v>
      </c>
      <c r="R46" s="53"/>
      <c r="S46" s="53">
        <f t="shared" si="2"/>
        <v>44</v>
      </c>
      <c r="T46" s="53">
        <v>16</v>
      </c>
      <c r="X46" s="57">
        <f>SUM(X26:X43)-X45-X31</f>
        <v>401.50600000000037</v>
      </c>
      <c r="Y46" s="57">
        <f t="shared" ref="Y46:AD46" si="29">SUM(Y26:Y43)-Y45-Y31</f>
        <v>410.71499999999992</v>
      </c>
      <c r="Z46" s="57">
        <f t="shared" si="29"/>
        <v>438.41200000000015</v>
      </c>
      <c r="AA46" s="57">
        <f t="shared" si="29"/>
        <v>466.92300000000046</v>
      </c>
      <c r="AB46" s="57">
        <f t="shared" si="29"/>
        <v>448.98499999999984</v>
      </c>
      <c r="AC46" s="57">
        <f t="shared" si="29"/>
        <v>444.8399999999998</v>
      </c>
      <c r="AD46" s="57">
        <f t="shared" si="29"/>
        <v>461.95199999999971</v>
      </c>
      <c r="AM46">
        <f>AM45/3.412*1000</f>
        <v>656740.39999999991</v>
      </c>
      <c r="AN46">
        <f>AN45/3.412*1000</f>
        <v>658486.80000000005</v>
      </c>
      <c r="AO46">
        <f>AO45/3.412*1000</f>
        <v>696494.85000000009</v>
      </c>
    </row>
    <row r="47" spans="1:51" x14ac:dyDescent="0.2">
      <c r="A47" s="54" t="s">
        <v>204</v>
      </c>
      <c r="B47" s="53">
        <v>23.28</v>
      </c>
      <c r="C47" s="53">
        <v>23.96</v>
      </c>
      <c r="D47" s="53">
        <v>25.28</v>
      </c>
      <c r="E47" s="53">
        <v>27.52</v>
      </c>
      <c r="F47" s="53">
        <v>30.14</v>
      </c>
      <c r="G47" s="53">
        <v>28.36</v>
      </c>
      <c r="H47" s="53">
        <v>29.77</v>
      </c>
      <c r="I47" s="53">
        <v>31.27</v>
      </c>
      <c r="J47" s="53">
        <v>32.71</v>
      </c>
      <c r="K47" s="53">
        <v>33.08</v>
      </c>
      <c r="L47" s="53">
        <v>35.4</v>
      </c>
      <c r="M47" s="53">
        <v>38.46</v>
      </c>
      <c r="N47" s="53">
        <v>39.94</v>
      </c>
      <c r="O47" s="53">
        <v>40.159999999999997</v>
      </c>
      <c r="P47" s="53">
        <v>42.46</v>
      </c>
      <c r="Q47" s="53">
        <v>40.6</v>
      </c>
      <c r="R47" s="53"/>
      <c r="S47" s="53">
        <f t="shared" si="2"/>
        <v>45</v>
      </c>
      <c r="T47" s="53">
        <v>16</v>
      </c>
      <c r="X47" s="57">
        <f>SUM(X45:X46)</f>
        <v>1688.1590000000001</v>
      </c>
      <c r="Y47" s="57">
        <f t="shared" ref="Y47:AD47" si="30">SUM(Y45:Y46)</f>
        <v>1735.4649999999999</v>
      </c>
      <c r="Z47" s="57">
        <f t="shared" si="30"/>
        <v>1880.252</v>
      </c>
      <c r="AA47" s="57">
        <f t="shared" si="30"/>
        <v>2045.0880000000004</v>
      </c>
      <c r="AB47" s="57">
        <f t="shared" si="30"/>
        <v>2081.5889999999999</v>
      </c>
      <c r="AC47" s="57">
        <f t="shared" si="30"/>
        <v>1985.3000000000002</v>
      </c>
      <c r="AD47" s="57">
        <f t="shared" si="30"/>
        <v>2131.8809999999999</v>
      </c>
      <c r="AM47" s="5">
        <f>SUM(AM37:AM43)</f>
        <v>480.74465840000005</v>
      </c>
      <c r="AN47" s="5">
        <f>SUM(AN37:AN43)</f>
        <v>487.7665543999999</v>
      </c>
      <c r="AO47" s="5">
        <f>SUM(AO37:AO43)</f>
        <v>538.80188559999999</v>
      </c>
    </row>
    <row r="48" spans="1:51" x14ac:dyDescent="0.2">
      <c r="A48" s="54" t="s">
        <v>205</v>
      </c>
      <c r="B48" s="53">
        <v>12.24</v>
      </c>
      <c r="C48" s="53">
        <v>11.99</v>
      </c>
      <c r="D48" s="53">
        <v>12.23</v>
      </c>
      <c r="E48" s="53">
        <v>12.9</v>
      </c>
      <c r="F48" s="53">
        <v>12.64</v>
      </c>
      <c r="G48" s="53">
        <v>12.38</v>
      </c>
      <c r="H48" s="53">
        <v>10.95</v>
      </c>
      <c r="I48" s="53">
        <v>9.3529999999999998</v>
      </c>
      <c r="J48" s="53">
        <v>9.8829999999999991</v>
      </c>
      <c r="K48" s="53">
        <v>10.14</v>
      </c>
      <c r="L48" s="53">
        <v>10.39</v>
      </c>
      <c r="M48" s="53">
        <v>10.88</v>
      </c>
      <c r="N48" s="53">
        <v>11.13</v>
      </c>
      <c r="O48" s="53">
        <v>11.42</v>
      </c>
      <c r="P48" s="53">
        <v>11.16</v>
      </c>
      <c r="Q48" s="53">
        <v>10.87</v>
      </c>
      <c r="R48" s="53"/>
      <c r="S48" s="53">
        <f t="shared" si="2"/>
        <v>46</v>
      </c>
      <c r="T48" s="53">
        <v>16</v>
      </c>
    </row>
    <row r="49" spans="1:39" x14ac:dyDescent="0.2">
      <c r="A49" s="54" t="s">
        <v>206</v>
      </c>
      <c r="B49" s="53">
        <v>11.19</v>
      </c>
      <c r="C49" s="53">
        <v>12.37</v>
      </c>
      <c r="D49" s="53">
        <v>12.68</v>
      </c>
      <c r="E49" s="53">
        <v>12.79</v>
      </c>
      <c r="F49" s="53">
        <v>13.2</v>
      </c>
      <c r="G49" s="53">
        <v>13.45</v>
      </c>
      <c r="H49" s="53">
        <v>14.04</v>
      </c>
      <c r="I49" s="53">
        <v>14.76</v>
      </c>
      <c r="J49" s="53">
        <v>16.2</v>
      </c>
      <c r="K49" s="53">
        <v>16.43</v>
      </c>
      <c r="L49" s="53">
        <v>17.510000000000002</v>
      </c>
      <c r="M49" s="53">
        <v>36.97</v>
      </c>
      <c r="N49" s="53">
        <v>38.869999999999997</v>
      </c>
      <c r="O49" s="53">
        <v>38.909999999999997</v>
      </c>
      <c r="P49" s="53">
        <v>40.85</v>
      </c>
      <c r="Q49" s="53">
        <v>39.590000000000003</v>
      </c>
      <c r="R49" s="53"/>
      <c r="S49" s="53">
        <f t="shared" si="2"/>
        <v>47</v>
      </c>
      <c r="T49" s="53">
        <v>14</v>
      </c>
    </row>
    <row r="50" spans="1:39" x14ac:dyDescent="0.2">
      <c r="A50" s="54" t="s">
        <v>207</v>
      </c>
      <c r="B50" s="53">
        <v>6.0629999999999997</v>
      </c>
      <c r="C50" s="53">
        <v>6.3360000000000003</v>
      </c>
      <c r="D50" s="53">
        <v>6.6559999999999997</v>
      </c>
      <c r="E50" s="53">
        <v>7.14</v>
      </c>
      <c r="F50" s="53">
        <v>7.23</v>
      </c>
      <c r="G50" s="53">
        <v>7.4619999999999997</v>
      </c>
      <c r="H50" s="53">
        <v>7.6180000000000003</v>
      </c>
      <c r="I50" s="53">
        <v>7.8150000000000004</v>
      </c>
      <c r="J50" s="53">
        <v>8.7309999999999999</v>
      </c>
      <c r="K50" s="53">
        <v>8.5820000000000007</v>
      </c>
      <c r="L50" s="53">
        <v>8.5299999999999994</v>
      </c>
      <c r="M50" s="53">
        <v>7.8159999999999998</v>
      </c>
      <c r="N50" s="53">
        <v>8.1449999999999996</v>
      </c>
      <c r="O50" s="53">
        <v>8.6660000000000004</v>
      </c>
      <c r="P50" s="53">
        <v>8.5790000000000006</v>
      </c>
      <c r="Q50" s="53">
        <v>8.2669999999999995</v>
      </c>
      <c r="R50" s="53"/>
      <c r="S50" s="53">
        <f t="shared" si="2"/>
        <v>48</v>
      </c>
      <c r="T50" s="53">
        <v>13</v>
      </c>
      <c r="V50" t="s">
        <v>25</v>
      </c>
    </row>
    <row r="51" spans="1:39" x14ac:dyDescent="0.2">
      <c r="A51" s="54" t="s">
        <v>208</v>
      </c>
      <c r="B51" s="53">
        <v>12.7</v>
      </c>
      <c r="C51" s="53">
        <v>14.07</v>
      </c>
      <c r="D51" s="53">
        <v>13.61</v>
      </c>
      <c r="E51" s="53">
        <v>12.6</v>
      </c>
      <c r="F51" s="53">
        <v>12.35</v>
      </c>
      <c r="G51" s="53">
        <v>12.39</v>
      </c>
      <c r="H51" s="53">
        <v>12.46</v>
      </c>
      <c r="I51" s="53">
        <v>12.38</v>
      </c>
      <c r="J51" s="53">
        <v>12.65</v>
      </c>
      <c r="K51" s="53">
        <v>11.89</v>
      </c>
      <c r="L51" s="53">
        <v>12.13</v>
      </c>
      <c r="M51" s="53">
        <v>15.82</v>
      </c>
      <c r="N51" s="53">
        <v>16.350000000000001</v>
      </c>
      <c r="O51" s="53">
        <v>16.95</v>
      </c>
      <c r="P51" s="53">
        <v>17.36</v>
      </c>
      <c r="Q51" s="53">
        <v>16.77</v>
      </c>
      <c r="R51" s="53"/>
      <c r="S51" s="53">
        <f t="shared" si="2"/>
        <v>49</v>
      </c>
      <c r="T51" s="53">
        <v>18</v>
      </c>
      <c r="V51" s="2" t="s">
        <v>12</v>
      </c>
      <c r="AM51">
        <f t="shared" ref="AM51:AM68" si="31">AM73*3.412*0.001</f>
        <v>159.61404240000002</v>
      </c>
    </row>
    <row r="52" spans="1:39" x14ac:dyDescent="0.2">
      <c r="A52" s="54" t="s">
        <v>209</v>
      </c>
      <c r="B52" s="53">
        <v>133.30000000000001</v>
      </c>
      <c r="C52" s="53">
        <v>136.6</v>
      </c>
      <c r="D52" s="53">
        <v>138.30000000000001</v>
      </c>
      <c r="E52" s="53">
        <v>134.9</v>
      </c>
      <c r="F52" s="53">
        <v>140.30000000000001</v>
      </c>
      <c r="G52" s="53">
        <v>141.4</v>
      </c>
      <c r="H52" s="53">
        <v>156.80000000000001</v>
      </c>
      <c r="I52" s="53">
        <v>149.80000000000001</v>
      </c>
      <c r="J52" s="53">
        <v>154.69999999999999</v>
      </c>
      <c r="K52" s="53">
        <v>154.9</v>
      </c>
      <c r="L52" s="53">
        <v>157.9</v>
      </c>
      <c r="M52" s="53">
        <v>171</v>
      </c>
      <c r="N52" s="53">
        <v>175.6</v>
      </c>
      <c r="O52" s="53">
        <v>177.1</v>
      </c>
      <c r="P52" s="53">
        <v>178.5</v>
      </c>
      <c r="Q52" s="53">
        <v>183.6</v>
      </c>
      <c r="R52" s="53"/>
      <c r="S52" s="53">
        <f t="shared" si="2"/>
        <v>50</v>
      </c>
      <c r="T52" s="53">
        <v>1</v>
      </c>
      <c r="V52" s="2" t="s">
        <v>13</v>
      </c>
      <c r="AM52">
        <f t="shared" si="31"/>
        <v>87.091641199999998</v>
      </c>
    </row>
    <row r="53" spans="1:39" x14ac:dyDescent="0.2">
      <c r="A53" s="54" t="s">
        <v>210</v>
      </c>
      <c r="B53" s="53">
        <v>3.835</v>
      </c>
      <c r="C53" s="53">
        <v>4.2649999999999997</v>
      </c>
      <c r="D53" s="53">
        <v>4.319</v>
      </c>
      <c r="E53" s="53">
        <v>4.508</v>
      </c>
      <c r="F53" s="53">
        <v>4.7530000000000001</v>
      </c>
      <c r="G53" s="53">
        <v>4.8520000000000003</v>
      </c>
      <c r="H53" s="53">
        <v>4.9800000000000004</v>
      </c>
      <c r="I53" s="53">
        <v>5.2030000000000003</v>
      </c>
      <c r="J53" s="53">
        <v>4.8730000000000002</v>
      </c>
      <c r="K53" s="53">
        <v>5.0709999999999997</v>
      </c>
      <c r="L53" s="53">
        <v>4.8070000000000004</v>
      </c>
      <c r="M53" s="53">
        <v>5.2089999999999996</v>
      </c>
      <c r="N53" s="53">
        <v>5.31</v>
      </c>
      <c r="O53" s="53">
        <v>5.2460000000000004</v>
      </c>
      <c r="P53" s="53">
        <v>5.24</v>
      </c>
      <c r="Q53" s="53">
        <v>5.3369999999999997</v>
      </c>
      <c r="R53" s="53"/>
      <c r="S53" s="53">
        <f t="shared" si="2"/>
        <v>51</v>
      </c>
      <c r="T53" s="53">
        <v>1</v>
      </c>
      <c r="V53" s="2" t="s">
        <v>14</v>
      </c>
      <c r="AM53">
        <f t="shared" si="31"/>
        <v>24.469840399999999</v>
      </c>
    </row>
    <row r="54" spans="1:39" x14ac:dyDescent="0.2">
      <c r="A54" s="54" t="s">
        <v>211</v>
      </c>
      <c r="B54" s="53">
        <v>71.7</v>
      </c>
      <c r="C54" s="53">
        <v>70.42</v>
      </c>
      <c r="D54" s="53">
        <v>68.209999999999994</v>
      </c>
      <c r="E54" s="53">
        <v>67.73</v>
      </c>
      <c r="F54" s="53">
        <v>66.55</v>
      </c>
      <c r="G54" s="53">
        <v>66.459999999999994</v>
      </c>
      <c r="H54" s="53">
        <v>61.9</v>
      </c>
      <c r="I54" s="53">
        <v>68.42</v>
      </c>
      <c r="J54" s="53">
        <v>68.97</v>
      </c>
      <c r="K54" s="53">
        <v>65.91</v>
      </c>
      <c r="L54" s="53">
        <v>67.959999999999994</v>
      </c>
      <c r="M54" s="53">
        <v>74.61</v>
      </c>
      <c r="N54" s="53">
        <v>74.66</v>
      </c>
      <c r="O54" s="53">
        <v>74.38</v>
      </c>
      <c r="P54" s="53">
        <v>72.03</v>
      </c>
      <c r="Q54" s="53">
        <v>73.05</v>
      </c>
      <c r="R54" s="53"/>
      <c r="S54" s="53">
        <f t="shared" si="2"/>
        <v>52</v>
      </c>
      <c r="T54" s="53">
        <v>2</v>
      </c>
      <c r="V54">
        <v>321</v>
      </c>
      <c r="AM54">
        <f t="shared" si="31"/>
        <v>57.203885999999997</v>
      </c>
    </row>
    <row r="55" spans="1:39" x14ac:dyDescent="0.2">
      <c r="A55" s="54" t="s">
        <v>212</v>
      </c>
      <c r="B55" s="53">
        <v>10.52</v>
      </c>
      <c r="C55" s="53">
        <v>11.01</v>
      </c>
      <c r="D55" s="53">
        <v>11.53</v>
      </c>
      <c r="E55" s="53">
        <v>10.91</v>
      </c>
      <c r="F55" s="53">
        <v>9.9079999999999995</v>
      </c>
      <c r="G55" s="53">
        <v>10.11</v>
      </c>
      <c r="H55" s="53">
        <v>9.6669999999999998</v>
      </c>
      <c r="I55" s="53">
        <v>10.210000000000001</v>
      </c>
      <c r="J55" s="53">
        <v>11.16</v>
      </c>
      <c r="K55" s="53">
        <v>10.83</v>
      </c>
      <c r="L55" s="53">
        <v>11.64</v>
      </c>
      <c r="M55" s="53">
        <v>14.74</v>
      </c>
      <c r="N55" s="53">
        <v>15.46</v>
      </c>
      <c r="O55" s="53">
        <v>16.63</v>
      </c>
      <c r="P55" s="53">
        <v>15.61</v>
      </c>
      <c r="Q55" s="53">
        <v>15.31</v>
      </c>
      <c r="R55" s="53"/>
      <c r="S55" s="53">
        <f t="shared" si="2"/>
        <v>53</v>
      </c>
      <c r="T55" s="53">
        <v>2</v>
      </c>
      <c r="V55">
        <v>322</v>
      </c>
      <c r="AM55">
        <f t="shared" si="31"/>
        <v>178.95667039999998</v>
      </c>
    </row>
    <row r="56" spans="1:39" x14ac:dyDescent="0.2">
      <c r="A56" s="54" t="s">
        <v>213</v>
      </c>
      <c r="B56" s="53">
        <v>10.74</v>
      </c>
      <c r="C56" s="53">
        <v>10.44</v>
      </c>
      <c r="D56" s="53">
        <v>12.05</v>
      </c>
      <c r="E56" s="53">
        <v>11.85</v>
      </c>
      <c r="F56" s="53">
        <v>11.34</v>
      </c>
      <c r="G56" s="53">
        <v>10.71</v>
      </c>
      <c r="H56" s="53">
        <v>9.9359999999999999</v>
      </c>
      <c r="I56" s="53">
        <v>10.52</v>
      </c>
      <c r="J56" s="53">
        <v>10.62</v>
      </c>
      <c r="K56" s="53">
        <v>10.35</v>
      </c>
      <c r="L56" s="53">
        <v>10.41</v>
      </c>
      <c r="M56" s="53">
        <v>11.72</v>
      </c>
      <c r="N56" s="53">
        <v>11.58</v>
      </c>
      <c r="O56" s="53">
        <v>12.42</v>
      </c>
      <c r="P56" s="53">
        <v>12.17</v>
      </c>
      <c r="Q56" s="53">
        <v>12.67</v>
      </c>
      <c r="R56" s="53"/>
      <c r="S56" s="53">
        <f t="shared" si="2"/>
        <v>54</v>
      </c>
      <c r="T56" s="53">
        <v>2</v>
      </c>
      <c r="V56">
        <v>323</v>
      </c>
      <c r="AM56">
        <f t="shared" si="31"/>
        <v>42.249089999999995</v>
      </c>
    </row>
    <row r="57" spans="1:39" x14ac:dyDescent="0.2">
      <c r="A57" s="54" t="s">
        <v>214</v>
      </c>
      <c r="B57" s="53">
        <v>20.91</v>
      </c>
      <c r="C57" s="53">
        <v>20.239999999999998</v>
      </c>
      <c r="D57" s="53">
        <v>18.62</v>
      </c>
      <c r="E57" s="53">
        <v>16.11</v>
      </c>
      <c r="F57" s="53">
        <v>16.77</v>
      </c>
      <c r="G57" s="53">
        <v>16.73</v>
      </c>
      <c r="H57" s="53">
        <v>17.14</v>
      </c>
      <c r="I57" s="53">
        <v>17.100000000000001</v>
      </c>
      <c r="J57" s="53">
        <v>19.43</v>
      </c>
      <c r="K57" s="53">
        <v>16.27</v>
      </c>
      <c r="L57" s="53">
        <v>16.68</v>
      </c>
      <c r="M57" s="53">
        <v>16.739999999999998</v>
      </c>
      <c r="N57" s="53">
        <v>17.28</v>
      </c>
      <c r="O57" s="53">
        <v>14.22</v>
      </c>
      <c r="P57" s="53">
        <v>13.79</v>
      </c>
      <c r="Q57" s="53">
        <v>13.35</v>
      </c>
      <c r="R57" s="53"/>
      <c r="S57" s="53">
        <f t="shared" si="2"/>
        <v>55</v>
      </c>
      <c r="T57" s="53">
        <v>3</v>
      </c>
      <c r="V57">
        <v>324</v>
      </c>
      <c r="AM57">
        <f t="shared" si="31"/>
        <v>119.877208</v>
      </c>
    </row>
    <row r="58" spans="1:39" x14ac:dyDescent="0.2">
      <c r="A58" s="54" t="s">
        <v>215</v>
      </c>
      <c r="B58" s="53">
        <v>4.7939999999999996</v>
      </c>
      <c r="C58" s="53">
        <v>4.681</v>
      </c>
      <c r="D58" s="53">
        <v>4.3899999999999997</v>
      </c>
      <c r="E58" s="53">
        <v>4.157</v>
      </c>
      <c r="F58" s="53">
        <v>3.8740000000000001</v>
      </c>
      <c r="G58" s="53">
        <v>3.94</v>
      </c>
      <c r="H58" s="53">
        <v>4.4669999999999996</v>
      </c>
      <c r="I58" s="53">
        <v>4.2210000000000001</v>
      </c>
      <c r="J58" s="53">
        <v>4.6180000000000003</v>
      </c>
      <c r="K58" s="53">
        <v>4.6399999999999997</v>
      </c>
      <c r="L58" s="53">
        <v>4.819</v>
      </c>
      <c r="M58" s="53">
        <v>5.7469999999999999</v>
      </c>
      <c r="N58" s="53">
        <v>5.6360000000000001</v>
      </c>
      <c r="O58" s="53">
        <v>5.8159999999999998</v>
      </c>
      <c r="P58" s="53">
        <v>6.1230000000000002</v>
      </c>
      <c r="Q58" s="53">
        <v>6.08</v>
      </c>
      <c r="R58" s="53"/>
      <c r="S58" s="53">
        <f t="shared" si="2"/>
        <v>56</v>
      </c>
      <c r="T58" s="53">
        <v>2</v>
      </c>
      <c r="V58">
        <v>325</v>
      </c>
      <c r="AM58">
        <f t="shared" si="31"/>
        <v>429.44284999999996</v>
      </c>
    </row>
    <row r="59" spans="1:39" x14ac:dyDescent="0.2">
      <c r="A59" s="54" t="s">
        <v>216</v>
      </c>
      <c r="B59" s="53">
        <v>121.3</v>
      </c>
      <c r="C59" s="53">
        <v>123.6</v>
      </c>
      <c r="D59" s="53">
        <v>125.6</v>
      </c>
      <c r="E59" s="53">
        <v>127.5</v>
      </c>
      <c r="F59" s="53">
        <v>138.80000000000001</v>
      </c>
      <c r="G59" s="53">
        <v>147.1</v>
      </c>
      <c r="H59" s="53">
        <v>142.30000000000001</v>
      </c>
      <c r="I59" s="53">
        <v>143.80000000000001</v>
      </c>
      <c r="J59" s="53">
        <v>148.30000000000001</v>
      </c>
      <c r="K59" s="53">
        <v>144.4</v>
      </c>
      <c r="L59" s="53">
        <v>149.80000000000001</v>
      </c>
      <c r="M59" s="53">
        <v>155.6</v>
      </c>
      <c r="N59" s="53">
        <v>161.4</v>
      </c>
      <c r="O59" s="53">
        <v>165.2</v>
      </c>
      <c r="P59" s="53">
        <v>178</v>
      </c>
      <c r="Q59" s="53">
        <v>180.6</v>
      </c>
      <c r="R59" s="53"/>
      <c r="S59" s="53">
        <f t="shared" si="2"/>
        <v>57</v>
      </c>
      <c r="T59" s="53">
        <v>5</v>
      </c>
      <c r="V59">
        <v>326</v>
      </c>
      <c r="AM59">
        <f t="shared" si="31"/>
        <v>102.70972999999999</v>
      </c>
    </row>
    <row r="60" spans="1:39" x14ac:dyDescent="0.2">
      <c r="A60" s="54" t="s">
        <v>217</v>
      </c>
      <c r="B60" s="53">
        <v>15.73</v>
      </c>
      <c r="C60" s="53">
        <v>16.809999999999999</v>
      </c>
      <c r="D60" s="53">
        <v>18.239999999999998</v>
      </c>
      <c r="E60" s="53">
        <v>18.579999999999998</v>
      </c>
      <c r="F60" s="53">
        <v>19.43</v>
      </c>
      <c r="G60" s="53">
        <v>19.36</v>
      </c>
      <c r="H60" s="53">
        <v>18.73</v>
      </c>
      <c r="I60" s="53">
        <v>20.65</v>
      </c>
      <c r="J60" s="53">
        <v>21.99</v>
      </c>
      <c r="K60" s="53">
        <v>21.65</v>
      </c>
      <c r="L60" s="53">
        <v>23.45</v>
      </c>
      <c r="M60" s="53">
        <v>25.54</v>
      </c>
      <c r="N60" s="53">
        <v>27.62</v>
      </c>
      <c r="O60" s="53">
        <v>28.61</v>
      </c>
      <c r="P60" s="53">
        <v>29.18</v>
      </c>
      <c r="Q60" s="53">
        <v>30.35</v>
      </c>
      <c r="R60" s="53"/>
      <c r="S60" s="53">
        <f t="shared" si="2"/>
        <v>58</v>
      </c>
      <c r="T60" s="53">
        <v>5</v>
      </c>
      <c r="V60">
        <v>327</v>
      </c>
      <c r="AK60">
        <f>AK82*3.412*0.001</f>
        <v>84.732243199999999</v>
      </c>
      <c r="AL60">
        <f>AL82*3.412*0.001</f>
        <v>102.50705719999999</v>
      </c>
      <c r="AM60">
        <f t="shared" si="31"/>
        <v>104.1233216</v>
      </c>
    </row>
    <row r="61" spans="1:39" x14ac:dyDescent="0.2">
      <c r="A61" s="54" t="s">
        <v>218</v>
      </c>
      <c r="B61" s="53">
        <v>11.29</v>
      </c>
      <c r="C61" s="53">
        <v>11.68</v>
      </c>
      <c r="D61" s="53">
        <v>11.81</v>
      </c>
      <c r="E61" s="53">
        <v>11.44</v>
      </c>
      <c r="F61" s="53">
        <v>11.33</v>
      </c>
      <c r="G61" s="53">
        <v>11.68</v>
      </c>
      <c r="H61" s="53">
        <v>11.46</v>
      </c>
      <c r="I61" s="53">
        <v>12.37</v>
      </c>
      <c r="J61" s="53">
        <v>12.66</v>
      </c>
      <c r="K61" s="53">
        <v>13.62</v>
      </c>
      <c r="L61" s="53">
        <v>15.34</v>
      </c>
      <c r="M61" s="53">
        <v>16.28</v>
      </c>
      <c r="N61" s="53">
        <v>17.149999999999999</v>
      </c>
      <c r="O61" s="53">
        <v>18.829999999999998</v>
      </c>
      <c r="P61" s="53">
        <v>18.86</v>
      </c>
      <c r="Q61" s="53">
        <v>18.23</v>
      </c>
      <c r="R61" s="53"/>
      <c r="S61" s="53">
        <f t="shared" si="2"/>
        <v>59</v>
      </c>
      <c r="T61" s="53">
        <v>5</v>
      </c>
      <c r="V61">
        <v>331</v>
      </c>
      <c r="AM61">
        <f t="shared" si="31"/>
        <v>454.31496520000002</v>
      </c>
    </row>
    <row r="62" spans="1:39" x14ac:dyDescent="0.2">
      <c r="A62" s="54" t="s">
        <v>219</v>
      </c>
      <c r="B62" s="53">
        <v>34.54</v>
      </c>
      <c r="C62" s="53">
        <v>36.01</v>
      </c>
      <c r="D62" s="53">
        <v>35.299999999999997</v>
      </c>
      <c r="E62" s="53">
        <v>32.369999999999997</v>
      </c>
      <c r="F62" s="53">
        <v>32.94</v>
      </c>
      <c r="G62" s="53">
        <v>35.15</v>
      </c>
      <c r="H62" s="53">
        <v>36.299999999999997</v>
      </c>
      <c r="I62" s="53">
        <v>36.46</v>
      </c>
      <c r="J62" s="53">
        <v>42.9</v>
      </c>
      <c r="K62" s="53">
        <v>42.25</v>
      </c>
      <c r="L62" s="53">
        <v>45.05</v>
      </c>
      <c r="M62" s="53">
        <v>51.21</v>
      </c>
      <c r="N62" s="53">
        <v>57.37</v>
      </c>
      <c r="O62" s="53">
        <v>56.86</v>
      </c>
      <c r="P62" s="53">
        <v>59.22</v>
      </c>
      <c r="Q62" s="53">
        <v>58.33</v>
      </c>
      <c r="R62" s="53"/>
      <c r="S62" s="53">
        <f t="shared" si="2"/>
        <v>60</v>
      </c>
      <c r="T62" s="53">
        <v>6</v>
      </c>
      <c r="V62">
        <v>332</v>
      </c>
      <c r="AM62">
        <f t="shared" si="31"/>
        <v>95.447629199999994</v>
      </c>
    </row>
    <row r="63" spans="1:39" x14ac:dyDescent="0.2">
      <c r="A63" s="54" t="s">
        <v>220</v>
      </c>
      <c r="B63" s="53">
        <v>350.2</v>
      </c>
      <c r="C63" s="53">
        <v>355</v>
      </c>
      <c r="D63" s="53">
        <v>343.3</v>
      </c>
      <c r="E63" s="53">
        <v>332.5</v>
      </c>
      <c r="F63" s="53">
        <v>299.2</v>
      </c>
      <c r="G63" s="53">
        <v>292.5</v>
      </c>
      <c r="H63" s="53">
        <v>267.10000000000002</v>
      </c>
      <c r="I63" s="53">
        <v>293.7</v>
      </c>
      <c r="J63" s="53">
        <v>316.5</v>
      </c>
      <c r="K63" s="53">
        <v>289.89999999999998</v>
      </c>
      <c r="L63" s="53">
        <v>271.8</v>
      </c>
      <c r="M63" s="53">
        <v>277.60000000000002</v>
      </c>
      <c r="N63" s="53">
        <v>279</v>
      </c>
      <c r="O63" s="53">
        <v>304.8</v>
      </c>
      <c r="P63" s="53">
        <v>328.4</v>
      </c>
      <c r="Q63" s="53">
        <v>330.7</v>
      </c>
      <c r="R63" s="53"/>
      <c r="S63" s="53">
        <f t="shared" si="2"/>
        <v>61</v>
      </c>
      <c r="T63" s="53">
        <v>8</v>
      </c>
      <c r="V63">
        <v>333</v>
      </c>
      <c r="AM63">
        <f t="shared" si="31"/>
        <v>103.2942056</v>
      </c>
    </row>
    <row r="64" spans="1:39" x14ac:dyDescent="0.2">
      <c r="A64" s="54" t="s">
        <v>221</v>
      </c>
      <c r="B64" s="53">
        <v>28.78</v>
      </c>
      <c r="C64" s="53">
        <v>30.27</v>
      </c>
      <c r="D64" s="53">
        <v>29.89</v>
      </c>
      <c r="E64" s="53">
        <v>28.3</v>
      </c>
      <c r="F64" s="53">
        <v>28.8</v>
      </c>
      <c r="G64" s="53">
        <v>28.72</v>
      </c>
      <c r="H64" s="53">
        <v>25.23</v>
      </c>
      <c r="I64" s="53">
        <v>22.32</v>
      </c>
      <c r="J64" s="53">
        <v>25.23</v>
      </c>
      <c r="K64" s="53">
        <v>24.12</v>
      </c>
      <c r="L64" s="53">
        <v>19.5</v>
      </c>
      <c r="M64" s="53">
        <v>19.3</v>
      </c>
      <c r="N64" s="53">
        <v>21.06</v>
      </c>
      <c r="O64" s="53">
        <v>20.3</v>
      </c>
      <c r="P64" s="53">
        <v>21.89</v>
      </c>
      <c r="Q64" s="53">
        <v>21.51</v>
      </c>
      <c r="R64" s="53"/>
      <c r="S64" s="53">
        <f t="shared" si="2"/>
        <v>62</v>
      </c>
      <c r="T64" s="53">
        <v>8</v>
      </c>
      <c r="V64">
        <v>334</v>
      </c>
      <c r="AM64">
        <f t="shared" si="31"/>
        <v>25.009618799999998</v>
      </c>
    </row>
    <row r="65" spans="1:39" x14ac:dyDescent="0.2">
      <c r="A65" s="54" t="s">
        <v>222</v>
      </c>
      <c r="B65" s="53">
        <v>3.4729999999999999</v>
      </c>
      <c r="C65" s="53">
        <v>3.2280000000000002</v>
      </c>
      <c r="D65" s="53">
        <v>3.3650000000000002</v>
      </c>
      <c r="E65" s="53">
        <v>4.0119999999999996</v>
      </c>
      <c r="F65" s="53">
        <v>4.1820000000000004</v>
      </c>
      <c r="G65" s="53">
        <v>5.1230000000000002</v>
      </c>
      <c r="H65" s="53">
        <v>4.82</v>
      </c>
      <c r="I65" s="53">
        <v>5.0010000000000003</v>
      </c>
      <c r="J65" s="53">
        <v>5.5490000000000004</v>
      </c>
      <c r="K65" s="53">
        <v>5.4379999999999997</v>
      </c>
      <c r="L65" s="53">
        <v>5.423</v>
      </c>
      <c r="M65" s="53">
        <v>5.5220000000000002</v>
      </c>
      <c r="N65" s="53">
        <v>5.6219999999999999</v>
      </c>
      <c r="O65" s="53">
        <v>5.6820000000000004</v>
      </c>
      <c r="P65" s="53">
        <v>5.782</v>
      </c>
      <c r="Q65" s="53">
        <v>5.3890000000000002</v>
      </c>
      <c r="R65" s="53"/>
      <c r="S65" s="53">
        <f t="shared" si="2"/>
        <v>63</v>
      </c>
      <c r="T65" s="53">
        <v>8</v>
      </c>
      <c r="V65">
        <v>335</v>
      </c>
      <c r="AM65">
        <f t="shared" si="31"/>
        <v>111.992076</v>
      </c>
    </row>
    <row r="66" spans="1:39" x14ac:dyDescent="0.2">
      <c r="A66" s="54" t="s">
        <v>223</v>
      </c>
      <c r="B66" s="53">
        <v>28</v>
      </c>
      <c r="C66" s="53">
        <v>31.38</v>
      </c>
      <c r="D66" s="53">
        <v>34.11</v>
      </c>
      <c r="E66" s="53">
        <v>41.52</v>
      </c>
      <c r="F66" s="53">
        <v>40.549999999999997</v>
      </c>
      <c r="G66" s="53">
        <v>41.81</v>
      </c>
      <c r="H66" s="53">
        <v>35.340000000000003</v>
      </c>
      <c r="I66" s="53">
        <v>34.61</v>
      </c>
      <c r="J66" s="53">
        <v>37.74</v>
      </c>
      <c r="K66" s="53">
        <v>40.42</v>
      </c>
      <c r="L66" s="53">
        <v>41.31</v>
      </c>
      <c r="M66" s="53">
        <v>48.3</v>
      </c>
      <c r="N66" s="53">
        <v>46.75</v>
      </c>
      <c r="O66" s="53">
        <v>48.42</v>
      </c>
      <c r="P66" s="53">
        <v>50.45</v>
      </c>
      <c r="Q66" s="53">
        <v>52.41</v>
      </c>
      <c r="R66" s="53"/>
      <c r="S66" s="53">
        <f t="shared" si="2"/>
        <v>64</v>
      </c>
      <c r="T66" s="53">
        <v>8</v>
      </c>
      <c r="V66">
        <v>336</v>
      </c>
      <c r="AM66">
        <f t="shared" si="31"/>
        <v>117.838538</v>
      </c>
    </row>
    <row r="67" spans="1:39" x14ac:dyDescent="0.2">
      <c r="A67" s="54" t="s">
        <v>224</v>
      </c>
      <c r="B67" s="53">
        <v>4.4589999999999996</v>
      </c>
      <c r="C67" s="53">
        <v>4.5380000000000003</v>
      </c>
      <c r="D67" s="53">
        <v>4.6970000000000001</v>
      </c>
      <c r="E67" s="53">
        <v>5.3949999999999996</v>
      </c>
      <c r="F67" s="53">
        <v>4.8360000000000003</v>
      </c>
      <c r="G67" s="53">
        <v>4.9119999999999999</v>
      </c>
      <c r="H67" s="53">
        <v>5.0359999999999996</v>
      </c>
      <c r="I67" s="53">
        <v>4.8490000000000002</v>
      </c>
      <c r="J67" s="53">
        <v>4.7770000000000001</v>
      </c>
      <c r="K67" s="53">
        <v>4.3719999999999999</v>
      </c>
      <c r="L67" s="53">
        <v>4.4870000000000001</v>
      </c>
      <c r="M67" s="53">
        <v>5.8129999999999997</v>
      </c>
      <c r="N67" s="53">
        <v>5.9539999999999997</v>
      </c>
      <c r="O67" s="53">
        <v>5.85</v>
      </c>
      <c r="P67" s="53">
        <v>6.3310000000000004</v>
      </c>
      <c r="Q67" s="53">
        <v>6.0670000000000002</v>
      </c>
      <c r="R67" s="53"/>
      <c r="S67" s="53">
        <f t="shared" si="2"/>
        <v>65</v>
      </c>
      <c r="T67" s="53">
        <v>8</v>
      </c>
      <c r="V67">
        <v>337</v>
      </c>
      <c r="AM67">
        <f t="shared" si="31"/>
        <v>15.2693824</v>
      </c>
    </row>
    <row r="68" spans="1:39" x14ac:dyDescent="0.2">
      <c r="A68" s="54" t="s">
        <v>225</v>
      </c>
      <c r="B68" s="53">
        <v>24.8</v>
      </c>
      <c r="C68" s="53">
        <v>27.49</v>
      </c>
      <c r="D68" s="53">
        <v>27.35</v>
      </c>
      <c r="E68" s="53">
        <v>28.34</v>
      </c>
      <c r="F68" s="53">
        <v>26.05</v>
      </c>
      <c r="G68" s="53">
        <v>25.91</v>
      </c>
      <c r="H68" s="53">
        <v>23.3</v>
      </c>
      <c r="I68" s="53">
        <v>24.29</v>
      </c>
      <c r="J68" s="53">
        <v>24.23</v>
      </c>
      <c r="K68" s="53">
        <v>23.92</v>
      </c>
      <c r="L68" s="53">
        <v>24.67</v>
      </c>
      <c r="M68" s="53">
        <v>23.04</v>
      </c>
      <c r="N68" s="53">
        <v>22.56</v>
      </c>
      <c r="O68" s="53">
        <v>23.85</v>
      </c>
      <c r="P68" s="53">
        <v>23.41</v>
      </c>
      <c r="Q68" s="53">
        <v>23.65</v>
      </c>
      <c r="R68" s="53"/>
      <c r="S68" s="53">
        <f t="shared" si="2"/>
        <v>66</v>
      </c>
      <c r="T68" s="53">
        <v>8</v>
      </c>
      <c r="V68">
        <v>339</v>
      </c>
      <c r="AM68">
        <f t="shared" si="31"/>
        <v>11.8935496</v>
      </c>
    </row>
    <row r="69" spans="1:39" x14ac:dyDescent="0.2">
      <c r="A69" s="54" t="s">
        <v>226</v>
      </c>
      <c r="B69" s="53">
        <v>19.04</v>
      </c>
      <c r="C69" s="53">
        <v>19.989999999999998</v>
      </c>
      <c r="D69" s="53">
        <v>21.51</v>
      </c>
      <c r="E69" s="53">
        <v>21.6</v>
      </c>
      <c r="F69" s="53">
        <v>22.74</v>
      </c>
      <c r="G69" s="53">
        <v>23.77</v>
      </c>
      <c r="H69" s="53">
        <v>24.36</v>
      </c>
      <c r="I69" s="53">
        <v>23.99</v>
      </c>
      <c r="J69" s="53">
        <v>24.67</v>
      </c>
      <c r="K69" s="53">
        <v>24.28</v>
      </c>
      <c r="L69" s="53">
        <v>25.39</v>
      </c>
      <c r="M69" s="53">
        <v>27.68</v>
      </c>
      <c r="N69" s="53">
        <v>29.35</v>
      </c>
      <c r="O69" s="53">
        <v>28.34</v>
      </c>
      <c r="P69" s="53">
        <v>28.89</v>
      </c>
      <c r="Q69" s="53">
        <v>31.38</v>
      </c>
      <c r="R69" s="53"/>
      <c r="S69" s="53">
        <f t="shared" ref="S69:S77" si="32">S68+1</f>
        <v>67</v>
      </c>
      <c r="T69" s="53">
        <v>8</v>
      </c>
    </row>
    <row r="70" spans="1:39" x14ac:dyDescent="0.2">
      <c r="A70" s="54" t="s">
        <v>227</v>
      </c>
      <c r="B70" s="53">
        <v>3.3610000000000002</v>
      </c>
      <c r="C70" s="53">
        <v>3.4630000000000001</v>
      </c>
      <c r="D70" s="53">
        <v>3.6259999999999999</v>
      </c>
      <c r="E70" s="53">
        <v>3.105</v>
      </c>
      <c r="F70" s="53">
        <v>2.992</v>
      </c>
      <c r="G70" s="53">
        <v>2.9969999999999999</v>
      </c>
      <c r="H70" s="53">
        <v>2.722</v>
      </c>
      <c r="I70" s="53">
        <v>3.3149999999999999</v>
      </c>
      <c r="J70" s="53">
        <v>3.335</v>
      </c>
      <c r="K70" s="53">
        <v>3.2360000000000002</v>
      </c>
      <c r="L70" s="53">
        <v>3.395</v>
      </c>
      <c r="M70" s="53">
        <v>3.8980000000000001</v>
      </c>
      <c r="N70" s="53">
        <v>5.2670000000000003</v>
      </c>
      <c r="O70" s="53">
        <v>4.0869999999999997</v>
      </c>
      <c r="P70" s="53">
        <v>3.91</v>
      </c>
      <c r="Q70" s="53">
        <v>3.8780000000000001</v>
      </c>
      <c r="R70" s="53"/>
      <c r="S70" s="53">
        <f t="shared" si="32"/>
        <v>68</v>
      </c>
      <c r="T70" s="53">
        <v>8</v>
      </c>
      <c r="AM70">
        <f>SUM(AM51:AM68)</f>
        <v>2240.7982447999998</v>
      </c>
    </row>
    <row r="71" spans="1:39" x14ac:dyDescent="0.2">
      <c r="A71" s="54" t="s">
        <v>228</v>
      </c>
      <c r="B71" s="53">
        <v>9.5779999999999994</v>
      </c>
      <c r="C71" s="53">
        <v>9.7720000000000002</v>
      </c>
      <c r="D71" s="53">
        <v>10.4</v>
      </c>
      <c r="E71" s="53">
        <v>13.6</v>
      </c>
      <c r="F71" s="53">
        <v>9.6129999999999995</v>
      </c>
      <c r="G71" s="53">
        <v>11</v>
      </c>
      <c r="H71" s="53">
        <v>10.52</v>
      </c>
      <c r="I71" s="53">
        <v>10.3</v>
      </c>
      <c r="J71" s="53">
        <v>12.23</v>
      </c>
      <c r="K71" s="53">
        <v>12.06</v>
      </c>
      <c r="L71" s="53">
        <v>11.78</v>
      </c>
      <c r="M71" s="53">
        <v>12.47</v>
      </c>
      <c r="N71" s="53">
        <v>13.27</v>
      </c>
      <c r="O71" s="53">
        <v>12.86</v>
      </c>
      <c r="P71" s="53">
        <v>12.9</v>
      </c>
      <c r="Q71" s="53">
        <v>12.78</v>
      </c>
      <c r="R71" s="53"/>
      <c r="S71" s="53">
        <f t="shared" si="32"/>
        <v>69</v>
      </c>
      <c r="T71" s="53">
        <v>8</v>
      </c>
      <c r="AM71">
        <f>SUM(AM62:AM68)</f>
        <v>480.74499959999991</v>
      </c>
    </row>
    <row r="72" spans="1:39" x14ac:dyDescent="0.2">
      <c r="A72" s="54" t="s">
        <v>229</v>
      </c>
      <c r="B72" s="53">
        <v>89.66</v>
      </c>
      <c r="C72" s="53">
        <v>97.18</v>
      </c>
      <c r="D72" s="53">
        <v>97.34</v>
      </c>
      <c r="E72" s="53">
        <v>102</v>
      </c>
      <c r="F72" s="53">
        <v>104.1</v>
      </c>
      <c r="G72" s="53">
        <v>105.6</v>
      </c>
      <c r="H72" s="53">
        <v>110.2</v>
      </c>
      <c r="I72" s="53">
        <v>107.9</v>
      </c>
      <c r="J72" s="53">
        <v>112.9</v>
      </c>
      <c r="K72" s="53">
        <v>113.3</v>
      </c>
      <c r="L72" s="53">
        <v>119.7</v>
      </c>
      <c r="M72" s="53">
        <v>106.3</v>
      </c>
      <c r="N72" s="53">
        <v>109.3</v>
      </c>
      <c r="O72" s="53">
        <v>108.3</v>
      </c>
      <c r="P72" s="53">
        <v>112.1</v>
      </c>
      <c r="Q72" s="53">
        <v>111.7</v>
      </c>
      <c r="R72" s="53"/>
      <c r="S72" s="53">
        <f t="shared" si="32"/>
        <v>70</v>
      </c>
      <c r="T72" s="53">
        <v>7</v>
      </c>
    </row>
    <row r="73" spans="1:39" x14ac:dyDescent="0.2">
      <c r="A73" s="54" t="s">
        <v>230</v>
      </c>
      <c r="B73" s="53">
        <v>0.86</v>
      </c>
      <c r="C73" s="53">
        <v>1.0169999999999999</v>
      </c>
      <c r="D73" s="53">
        <v>0.99099999999999999</v>
      </c>
      <c r="E73" s="53">
        <v>1.1479999999999999</v>
      </c>
      <c r="F73" s="53">
        <v>1.125</v>
      </c>
      <c r="G73" s="53">
        <v>1.175</v>
      </c>
      <c r="H73" s="53">
        <v>1.1850000000000001</v>
      </c>
      <c r="I73" s="53">
        <v>1.349</v>
      </c>
      <c r="J73" s="53">
        <v>1.4339999999999999</v>
      </c>
      <c r="K73" s="53">
        <v>1.3280000000000001</v>
      </c>
      <c r="L73" s="53">
        <v>1.427</v>
      </c>
      <c r="M73" s="53">
        <v>1.6890000000000001</v>
      </c>
      <c r="N73" s="53">
        <v>1.8140000000000001</v>
      </c>
      <c r="O73" s="53">
        <v>1.855</v>
      </c>
      <c r="P73" s="53">
        <v>1.94</v>
      </c>
      <c r="Q73" s="53">
        <v>2.044</v>
      </c>
      <c r="R73" s="53"/>
      <c r="S73" s="53">
        <f t="shared" si="32"/>
        <v>71</v>
      </c>
      <c r="T73" s="53">
        <v>7</v>
      </c>
      <c r="V73" s="2" t="s">
        <v>12</v>
      </c>
      <c r="AM73">
        <f>45293.9+1486.3</f>
        <v>46780.200000000004</v>
      </c>
    </row>
    <row r="74" spans="1:39" x14ac:dyDescent="0.2">
      <c r="A74" s="54" t="s">
        <v>231</v>
      </c>
      <c r="B74" s="53">
        <v>4.04</v>
      </c>
      <c r="C74" s="53">
        <v>4.6849999999999996</v>
      </c>
      <c r="D74" s="53">
        <v>4.9240000000000004</v>
      </c>
      <c r="E74" s="53">
        <v>4.5990000000000002</v>
      </c>
      <c r="F74" s="53">
        <v>4.6859999999999999</v>
      </c>
      <c r="G74" s="53">
        <v>4.2240000000000002</v>
      </c>
      <c r="H74" s="53">
        <v>5.2089999999999996</v>
      </c>
      <c r="I74" s="53">
        <v>4.8680000000000003</v>
      </c>
      <c r="J74" s="53">
        <v>4.3949999999999996</v>
      </c>
      <c r="K74" s="53">
        <v>4.6059999999999999</v>
      </c>
      <c r="L74" s="53">
        <v>4.6139999999999999</v>
      </c>
      <c r="M74" s="53">
        <v>5.5469999999999997</v>
      </c>
      <c r="N74" s="53">
        <v>5.7530000000000001</v>
      </c>
      <c r="O74" s="53">
        <v>5.6539999999999999</v>
      </c>
      <c r="P74" s="53">
        <v>5.6050000000000004</v>
      </c>
      <c r="Q74" s="53">
        <v>5.2409999999999997</v>
      </c>
      <c r="R74" s="53"/>
      <c r="S74" s="53">
        <f t="shared" si="32"/>
        <v>72</v>
      </c>
      <c r="T74" s="53">
        <v>7</v>
      </c>
      <c r="V74" s="2" t="s">
        <v>13</v>
      </c>
      <c r="AM74">
        <f>25525.1</f>
        <v>25525.1</v>
      </c>
    </row>
    <row r="75" spans="1:39" x14ac:dyDescent="0.2">
      <c r="A75" s="54" t="s">
        <v>232</v>
      </c>
      <c r="B75" s="53">
        <v>67.39</v>
      </c>
      <c r="C75" s="53">
        <v>76.97</v>
      </c>
      <c r="D75" s="53">
        <v>78.38</v>
      </c>
      <c r="E75" s="53">
        <v>77.92</v>
      </c>
      <c r="F75" s="53">
        <v>73.91</v>
      </c>
      <c r="G75" s="53">
        <v>78.180000000000007</v>
      </c>
      <c r="H75" s="53">
        <v>105.1</v>
      </c>
      <c r="I75" s="53">
        <v>109.3</v>
      </c>
      <c r="J75" s="53">
        <v>100.8</v>
      </c>
      <c r="K75" s="53">
        <v>102.7</v>
      </c>
      <c r="L75" s="53">
        <v>106.5</v>
      </c>
      <c r="M75" s="53">
        <v>112.9</v>
      </c>
      <c r="N75" s="53">
        <v>118.7</v>
      </c>
      <c r="O75" s="53">
        <v>121.4</v>
      </c>
      <c r="P75" s="53">
        <v>125.1</v>
      </c>
      <c r="Q75" s="53">
        <v>123.3</v>
      </c>
      <c r="R75" s="53"/>
      <c r="S75" s="53">
        <f t="shared" si="32"/>
        <v>73</v>
      </c>
      <c r="T75" s="53">
        <v>9</v>
      </c>
      <c r="V75" s="2" t="s">
        <v>14</v>
      </c>
      <c r="AM75">
        <f>6131.5+1040.2</f>
        <v>7171.7</v>
      </c>
    </row>
    <row r="76" spans="1:39" x14ac:dyDescent="0.2">
      <c r="A76" s="54" t="s">
        <v>233</v>
      </c>
      <c r="B76" s="53">
        <v>1.2689999999999999</v>
      </c>
      <c r="C76" s="53">
        <v>1.266</v>
      </c>
      <c r="D76" s="53">
        <v>1.3049999999999999</v>
      </c>
      <c r="E76" s="53">
        <v>1.141</v>
      </c>
      <c r="F76" s="53">
        <v>1.385</v>
      </c>
      <c r="G76" s="53">
        <v>1.173</v>
      </c>
      <c r="H76" s="53">
        <v>1.105</v>
      </c>
      <c r="I76" s="53">
        <v>1.077</v>
      </c>
      <c r="J76" s="53">
        <v>1.0629999999999999</v>
      </c>
      <c r="K76" s="53">
        <v>0.997</v>
      </c>
      <c r="L76" s="53">
        <v>0.90210000000000001</v>
      </c>
      <c r="M76" s="53">
        <v>1.1459999999999999</v>
      </c>
      <c r="N76" s="53">
        <v>1.22</v>
      </c>
      <c r="O76" s="53">
        <v>0.8841</v>
      </c>
      <c r="P76" s="53">
        <v>0.82640000000000002</v>
      </c>
      <c r="Q76" s="53">
        <v>0.76770000000000005</v>
      </c>
      <c r="R76" s="53"/>
      <c r="S76" s="53">
        <f t="shared" si="32"/>
        <v>74</v>
      </c>
      <c r="T76" s="53">
        <v>3</v>
      </c>
      <c r="V76">
        <v>321</v>
      </c>
      <c r="AM76">
        <f>16765.5</f>
        <v>16765.5</v>
      </c>
    </row>
    <row r="77" spans="1:39" x14ac:dyDescent="0.2">
      <c r="A77" s="53"/>
      <c r="B77" s="53">
        <v>3.883</v>
      </c>
      <c r="C77" s="53">
        <v>3.569</v>
      </c>
      <c r="D77" s="53">
        <v>3.444</v>
      </c>
      <c r="E77" s="53">
        <v>3.1970000000000001</v>
      </c>
      <c r="F77" s="53">
        <v>3.2589999999999999</v>
      </c>
      <c r="G77" s="53">
        <v>3.3330000000000002</v>
      </c>
      <c r="H77" s="53">
        <v>2.9750000000000001</v>
      </c>
      <c r="I77" s="53">
        <v>3.0150000000000001</v>
      </c>
      <c r="J77" s="53">
        <v>2.9790000000000001</v>
      </c>
      <c r="K77" s="53">
        <v>2.5529999999999999</v>
      </c>
      <c r="L77" s="53">
        <v>2.407</v>
      </c>
      <c r="M77" s="53">
        <v>2.3519999999999999</v>
      </c>
      <c r="N77" s="53">
        <v>2.3570000000000002</v>
      </c>
      <c r="O77" s="53">
        <v>2.4609999999999999</v>
      </c>
      <c r="P77" s="53">
        <v>2.3559999999999999</v>
      </c>
      <c r="Q77" s="53">
        <v>2.2130000000000001</v>
      </c>
      <c r="R77" s="53"/>
      <c r="S77" s="53">
        <f t="shared" si="32"/>
        <v>75</v>
      </c>
      <c r="T77" s="53">
        <v>3</v>
      </c>
      <c r="V77">
        <v>322</v>
      </c>
      <c r="AM77">
        <v>52449.2</v>
      </c>
    </row>
    <row r="78" spans="1:39" x14ac:dyDescent="0.2">
      <c r="A78" s="53" t="s">
        <v>0</v>
      </c>
      <c r="B78" s="53"/>
      <c r="C78" s="53"/>
      <c r="D78" s="53"/>
      <c r="E78" s="53"/>
      <c r="F78" s="53"/>
      <c r="G78" s="53"/>
      <c r="H78" s="53"/>
      <c r="I78" s="53"/>
      <c r="J78" s="53"/>
      <c r="K78" s="53"/>
      <c r="L78" s="53"/>
      <c r="M78" s="53"/>
      <c r="N78" s="53"/>
      <c r="O78" s="53"/>
      <c r="P78" s="53"/>
      <c r="Q78" s="53"/>
      <c r="R78" s="53"/>
      <c r="S78" s="53"/>
      <c r="T78" s="53"/>
      <c r="V78">
        <v>323</v>
      </c>
      <c r="AM78">
        <v>12382.5</v>
      </c>
    </row>
    <row r="79" spans="1:39" x14ac:dyDescent="0.2">
      <c r="A79" s="53"/>
      <c r="B79" s="53">
        <f>SUM(B10:B78)</f>
        <v>2166.3939999999998</v>
      </c>
      <c r="C79" s="53">
        <f t="shared" ref="C79:Q79" si="33">SUM(C10:C78)</f>
        <v>2263.4039999999995</v>
      </c>
      <c r="D79" s="53">
        <f t="shared" si="33"/>
        <v>2305.5030000000002</v>
      </c>
      <c r="E79" s="53">
        <f t="shared" si="33"/>
        <v>2328.2770000000005</v>
      </c>
      <c r="F79" s="53">
        <f t="shared" si="33"/>
        <v>2245.4139999999998</v>
      </c>
      <c r="G79" s="53">
        <f t="shared" si="33"/>
        <v>2271.8230000000003</v>
      </c>
      <c r="H79" s="53">
        <f t="shared" si="33"/>
        <v>2099.2629999999999</v>
      </c>
      <c r="I79" s="53">
        <f t="shared" si="33"/>
        <v>2125.1369999999997</v>
      </c>
      <c r="J79" s="53">
        <f t="shared" si="33"/>
        <v>2313.6360000000009</v>
      </c>
      <c r="K79" s="53">
        <f t="shared" si="33"/>
        <v>2247.7960000000003</v>
      </c>
      <c r="L79" s="53">
        <f t="shared" si="33"/>
        <v>2245.1827000000008</v>
      </c>
      <c r="M79" s="53">
        <f t="shared" si="33"/>
        <v>2384.7249999999999</v>
      </c>
      <c r="N79" s="53">
        <f t="shared" si="33"/>
        <v>2512.4709999999991</v>
      </c>
      <c r="O79" s="53">
        <f t="shared" si="33"/>
        <v>2538.9837000000007</v>
      </c>
      <c r="P79" s="53">
        <f t="shared" si="33"/>
        <v>2603.4058999999997</v>
      </c>
      <c r="Q79" s="53">
        <f t="shared" si="33"/>
        <v>2589.5990999999999</v>
      </c>
      <c r="R79" s="53"/>
      <c r="S79" s="53"/>
      <c r="T79" s="53"/>
      <c r="V79">
        <v>324</v>
      </c>
      <c r="AM79">
        <v>35134</v>
      </c>
    </row>
    <row r="80" spans="1:39" x14ac:dyDescent="0.2">
      <c r="A80" s="53"/>
      <c r="B80" s="53">
        <f>B79/3.412*1000</f>
        <v>634933.76318874548</v>
      </c>
      <c r="C80" s="53">
        <f t="shared" ref="C80:Q80" si="34">C79/3.412*1000</f>
        <v>663365.76787807723</v>
      </c>
      <c r="D80" s="53">
        <f t="shared" si="34"/>
        <v>675704.27901524049</v>
      </c>
      <c r="E80" s="53">
        <f t="shared" si="34"/>
        <v>682378.95662368124</v>
      </c>
      <c r="F80" s="53">
        <f t="shared" si="34"/>
        <v>658093.20046893309</v>
      </c>
      <c r="G80" s="53">
        <f t="shared" si="34"/>
        <v>665833.23563892161</v>
      </c>
      <c r="H80" s="53">
        <f t="shared" si="34"/>
        <v>615258.79249706923</v>
      </c>
      <c r="I80" s="53">
        <f t="shared" si="34"/>
        <v>622842.02813599049</v>
      </c>
      <c r="J80" s="53">
        <f t="shared" si="34"/>
        <v>678087.92497069191</v>
      </c>
      <c r="K80" s="53">
        <f t="shared" si="34"/>
        <v>658791.32473622519</v>
      </c>
      <c r="L80" s="53">
        <f t="shared" si="34"/>
        <v>658025.41031653015</v>
      </c>
      <c r="M80" s="53">
        <f t="shared" si="34"/>
        <v>698922.9191090269</v>
      </c>
      <c r="N80" s="53">
        <f t="shared" si="34"/>
        <v>736363.1301289564</v>
      </c>
      <c r="O80" s="53">
        <f t="shared" si="34"/>
        <v>744133.55803048087</v>
      </c>
      <c r="P80" s="53">
        <f t="shared" si="34"/>
        <v>763014.62485345837</v>
      </c>
      <c r="Q80" s="53">
        <f t="shared" si="34"/>
        <v>758968.08323563891</v>
      </c>
      <c r="R80" s="53"/>
      <c r="S80" s="53"/>
      <c r="T80" s="53"/>
      <c r="V80">
        <v>325</v>
      </c>
      <c r="AM80">
        <v>125862.5</v>
      </c>
    </row>
    <row r="81" spans="1:41" x14ac:dyDescent="0.2">
      <c r="A81" s="53"/>
      <c r="B81" s="53"/>
      <c r="C81" s="53"/>
      <c r="D81" s="53"/>
      <c r="E81" s="53"/>
      <c r="F81" s="53"/>
      <c r="G81" s="53"/>
      <c r="H81" s="53"/>
      <c r="I81" s="53"/>
      <c r="J81" s="53"/>
      <c r="K81" s="53"/>
      <c r="L81" s="53"/>
      <c r="M81" s="53"/>
      <c r="N81" s="53"/>
      <c r="O81" s="53"/>
      <c r="P81" s="53"/>
      <c r="Q81" s="53"/>
      <c r="R81" s="53"/>
      <c r="S81" s="53"/>
      <c r="T81" s="53"/>
      <c r="V81">
        <v>326</v>
      </c>
      <c r="AM81">
        <v>30102.5</v>
      </c>
    </row>
    <row r="82" spans="1:41" x14ac:dyDescent="0.2">
      <c r="V82">
        <v>327</v>
      </c>
      <c r="AK82">
        <v>24833.599999999999</v>
      </c>
      <c r="AL82">
        <v>30043.1</v>
      </c>
      <c r="AM82">
        <v>30516.799999999999</v>
      </c>
      <c r="AO82">
        <v>33311.5</v>
      </c>
    </row>
    <row r="83" spans="1:41" x14ac:dyDescent="0.2">
      <c r="V83">
        <v>331</v>
      </c>
      <c r="AM83">
        <v>133152.1</v>
      </c>
    </row>
    <row r="84" spans="1:41" x14ac:dyDescent="0.2">
      <c r="V84">
        <v>332</v>
      </c>
      <c r="AM84">
        <v>27974.1</v>
      </c>
    </row>
    <row r="85" spans="1:41" x14ac:dyDescent="0.2">
      <c r="V85">
        <v>333</v>
      </c>
      <c r="AM85">
        <v>30273.8</v>
      </c>
    </row>
    <row r="86" spans="1:41" x14ac:dyDescent="0.2">
      <c r="V86">
        <v>334</v>
      </c>
      <c r="AM86">
        <v>7329.9</v>
      </c>
    </row>
    <row r="87" spans="1:41" x14ac:dyDescent="0.2">
      <c r="V87">
        <v>335</v>
      </c>
      <c r="AM87">
        <v>32823</v>
      </c>
    </row>
    <row r="88" spans="1:41" x14ac:dyDescent="0.2">
      <c r="V88">
        <v>336</v>
      </c>
      <c r="AM88">
        <v>34536.5</v>
      </c>
    </row>
    <row r="89" spans="1:41" x14ac:dyDescent="0.2">
      <c r="V89">
        <v>337</v>
      </c>
      <c r="AM89">
        <v>4475.2</v>
      </c>
    </row>
    <row r="90" spans="1:41" x14ac:dyDescent="0.2">
      <c r="V90">
        <v>339</v>
      </c>
      <c r="AM90">
        <v>3485.8</v>
      </c>
    </row>
    <row r="92" spans="1:41" x14ac:dyDescent="0.2">
      <c r="AM92">
        <f>SUM(AM73:AM90)</f>
        <v>656740.4</v>
      </c>
    </row>
    <row r="93" spans="1:41" x14ac:dyDescent="0.2">
      <c r="AM93">
        <f>SUM(AM84:AM90)</f>
        <v>140898.29999999999</v>
      </c>
    </row>
    <row r="95" spans="1:41" x14ac:dyDescent="0.2">
      <c r="X95">
        <f>X2</f>
        <v>1970</v>
      </c>
      <c r="Y95">
        <f t="shared" ref="Y95:AE95" si="35">Y2</f>
        <v>1971</v>
      </c>
      <c r="Z95">
        <f t="shared" si="35"/>
        <v>1972</v>
      </c>
      <c r="AA95">
        <f t="shared" si="35"/>
        <v>1973</v>
      </c>
      <c r="AB95">
        <f t="shared" si="35"/>
        <v>1974</v>
      </c>
      <c r="AC95">
        <f t="shared" si="35"/>
        <v>1975</v>
      </c>
      <c r="AD95">
        <f t="shared" si="35"/>
        <v>1976</v>
      </c>
      <c r="AE95">
        <f t="shared" si="35"/>
        <v>1977</v>
      </c>
    </row>
    <row r="96" spans="1:41" x14ac:dyDescent="0.2">
      <c r="W96" t="s">
        <v>29</v>
      </c>
    </row>
    <row r="97" spans="23:41" x14ac:dyDescent="0.2">
      <c r="W97" t="s">
        <v>9</v>
      </c>
    </row>
    <row r="98" spans="23:41" x14ac:dyDescent="0.2">
      <c r="W98">
        <v>2711</v>
      </c>
      <c r="X98">
        <v>2484.1999999999998</v>
      </c>
      <c r="Y98">
        <v>2412.5</v>
      </c>
      <c r="AE98">
        <v>2591.6999999999998</v>
      </c>
      <c r="AH98">
        <v>2485.1</v>
      </c>
      <c r="AI98">
        <v>2556.6</v>
      </c>
      <c r="AJ98">
        <v>2598.6</v>
      </c>
      <c r="AK98">
        <v>2435.6999999999998</v>
      </c>
      <c r="AL98">
        <v>2837.7</v>
      </c>
      <c r="AM98">
        <v>2895.5</v>
      </c>
      <c r="AN98">
        <v>3076.9</v>
      </c>
      <c r="AO98">
        <v>3357.1</v>
      </c>
    </row>
    <row r="99" spans="23:41" x14ac:dyDescent="0.2">
      <c r="W99">
        <v>2721</v>
      </c>
      <c r="X99">
        <v>405.8</v>
      </c>
      <c r="Y99">
        <v>381.5</v>
      </c>
      <c r="AE99">
        <v>298.8</v>
      </c>
      <c r="AH99">
        <v>283.2</v>
      </c>
      <c r="AI99">
        <v>346</v>
      </c>
      <c r="AJ99">
        <v>467.4</v>
      </c>
      <c r="AK99">
        <v>565.6</v>
      </c>
      <c r="AL99">
        <v>394</v>
      </c>
      <c r="AM99">
        <v>441.7</v>
      </c>
      <c r="AN99">
        <v>425</v>
      </c>
      <c r="AO99">
        <v>471.2</v>
      </c>
    </row>
    <row r="100" spans="23:41" x14ac:dyDescent="0.2">
      <c r="W100">
        <v>2731</v>
      </c>
      <c r="X100">
        <v>676.1</v>
      </c>
      <c r="Y100">
        <v>968.2</v>
      </c>
      <c r="AE100">
        <v>267.60000000000002</v>
      </c>
      <c r="AH100">
        <v>257.3</v>
      </c>
      <c r="AI100">
        <v>246.4</v>
      </c>
      <c r="AJ100">
        <v>236.9</v>
      </c>
      <c r="AK100">
        <v>238.2</v>
      </c>
      <c r="AL100">
        <v>314.7</v>
      </c>
      <c r="AM100">
        <v>299.10000000000002</v>
      </c>
      <c r="AN100">
        <v>310.89999999999998</v>
      </c>
      <c r="AO100">
        <v>321.39999999999998</v>
      </c>
    </row>
    <row r="101" spans="23:41" x14ac:dyDescent="0.2">
      <c r="W101" t="s">
        <v>4</v>
      </c>
      <c r="X101">
        <f>SUM(X98:X100)</f>
        <v>3566.1</v>
      </c>
      <c r="Y101">
        <f>SUM(Y98:Y100)</f>
        <v>3762.2</v>
      </c>
      <c r="AE101">
        <f>SUM(AE98:AE100)</f>
        <v>3158.1</v>
      </c>
      <c r="AH101">
        <f>SUM(AH98:AH100)</f>
        <v>3025.6</v>
      </c>
      <c r="AI101">
        <f t="shared" ref="AI101:AO101" si="36">SUM(AI98:AI100)</f>
        <v>3149</v>
      </c>
      <c r="AJ101">
        <f t="shared" si="36"/>
        <v>3302.9</v>
      </c>
      <c r="AK101">
        <f t="shared" si="36"/>
        <v>3239.4999999999995</v>
      </c>
      <c r="AL101">
        <f t="shared" si="36"/>
        <v>3546.3999999999996</v>
      </c>
      <c r="AM101">
        <f t="shared" si="36"/>
        <v>3636.2999999999997</v>
      </c>
      <c r="AN101">
        <f t="shared" si="36"/>
        <v>3812.8</v>
      </c>
      <c r="AO101">
        <f t="shared" si="36"/>
        <v>4149.7</v>
      </c>
    </row>
    <row r="102" spans="23:41" x14ac:dyDescent="0.2">
      <c r="W102" t="s">
        <v>5</v>
      </c>
      <c r="X102">
        <f>3.412*X101*0.001</f>
        <v>12.167533199999999</v>
      </c>
      <c r="Y102">
        <f>3.412*Y101*0.001</f>
        <v>12.8366264</v>
      </c>
      <c r="Z102" s="56">
        <f>Z103*Z8</f>
        <v>12.501600000000002</v>
      </c>
      <c r="AA102" s="56">
        <f>AA103*AA8</f>
        <v>12.689719999999999</v>
      </c>
      <c r="AB102" s="56">
        <f>AB103*AB8</f>
        <v>11.046239999999999</v>
      </c>
      <c r="AC102" s="56">
        <f>AC103*AC8</f>
        <v>11.525320000000002</v>
      </c>
      <c r="AD102" s="56">
        <f>AD103*AD8</f>
        <v>11.0528</v>
      </c>
      <c r="AE102">
        <f>3.412*AE101*0.001</f>
        <v>10.775437200000001</v>
      </c>
      <c r="AF102">
        <f t="shared" ref="AF102:AO102" si="37">3.412*AF101*0.001</f>
        <v>0</v>
      </c>
      <c r="AG102">
        <f t="shared" si="37"/>
        <v>0</v>
      </c>
      <c r="AH102">
        <f t="shared" si="37"/>
        <v>10.323347200000001</v>
      </c>
      <c r="AI102">
        <f t="shared" si="37"/>
        <v>10.744387999999999</v>
      </c>
      <c r="AJ102">
        <f t="shared" si="37"/>
        <v>11.2694948</v>
      </c>
      <c r="AK102">
        <f t="shared" si="37"/>
        <v>11.053173999999999</v>
      </c>
      <c r="AL102">
        <f t="shared" si="37"/>
        <v>12.100316799999998</v>
      </c>
      <c r="AM102">
        <f t="shared" si="37"/>
        <v>12.4070556</v>
      </c>
      <c r="AN102">
        <f t="shared" si="37"/>
        <v>13.0092736</v>
      </c>
      <c r="AO102">
        <f t="shared" si="37"/>
        <v>14.158776399999999</v>
      </c>
    </row>
    <row r="103" spans="23:41" x14ac:dyDescent="0.2">
      <c r="W103" t="s">
        <v>6</v>
      </c>
      <c r="X103">
        <f>X102/X8</f>
        <v>0.39191951298073824</v>
      </c>
      <c r="Y103">
        <f>Y102/Y8</f>
        <v>0.41474027979709865</v>
      </c>
      <c r="Z103" s="56">
        <v>0.4</v>
      </c>
      <c r="AA103" s="56">
        <v>0.38</v>
      </c>
      <c r="AB103" s="56">
        <v>0.36</v>
      </c>
      <c r="AC103" s="56">
        <v>0.34</v>
      </c>
      <c r="AD103" s="56">
        <v>0.32</v>
      </c>
      <c r="AE103">
        <f>AE102/AE8</f>
        <v>0.29922626975090943</v>
      </c>
      <c r="AF103">
        <f>0.33*AE103+0.67*AH103</f>
        <v>0.30869618140245286</v>
      </c>
      <c r="AG103">
        <f>0.33*AE103+0.67*AH103</f>
        <v>0.30869618140245286</v>
      </c>
      <c r="AH103">
        <f t="shared" ref="AH103:AO103" si="38">AH102/AH8</f>
        <v>0.31336046624575037</v>
      </c>
      <c r="AI103">
        <f t="shared" si="38"/>
        <v>0.30566379334869559</v>
      </c>
      <c r="AJ103">
        <f t="shared" si="38"/>
        <v>0.31048006171308928</v>
      </c>
      <c r="AK103">
        <f t="shared" si="38"/>
        <v>0.30312565818341375</v>
      </c>
      <c r="AL103">
        <f t="shared" si="38"/>
        <v>0.28205866666666662</v>
      </c>
      <c r="AM103">
        <f t="shared" si="38"/>
        <v>0.29365812071005915</v>
      </c>
      <c r="AN103">
        <f t="shared" si="38"/>
        <v>0.28877410876803555</v>
      </c>
      <c r="AO103">
        <f t="shared" si="38"/>
        <v>0.27648460066393282</v>
      </c>
    </row>
    <row r="104" spans="23:41" x14ac:dyDescent="0.2">
      <c r="X104">
        <f>X102</f>
        <v>12.167533199999999</v>
      </c>
      <c r="Y104">
        <f>Y102</f>
        <v>12.8366264</v>
      </c>
      <c r="AE104">
        <f>AE102</f>
        <v>10.775437200000001</v>
      </c>
      <c r="AF104">
        <f>AF103*AF8</f>
        <v>10.896975203506585</v>
      </c>
      <c r="AG104">
        <f>AG103*AG8</f>
        <v>9.9937301767230089</v>
      </c>
      <c r="AH104">
        <f>AH102</f>
        <v>10.323347200000001</v>
      </c>
      <c r="AI104">
        <f t="shared" ref="AI104:AN104" si="39">AI102</f>
        <v>10.744387999999999</v>
      </c>
      <c r="AJ104">
        <f t="shared" si="39"/>
        <v>11.2694948</v>
      </c>
      <c r="AK104">
        <f t="shared" si="39"/>
        <v>11.053173999999999</v>
      </c>
      <c r="AL104">
        <f t="shared" si="39"/>
        <v>12.100316799999998</v>
      </c>
      <c r="AM104">
        <f t="shared" si="39"/>
        <v>12.4070556</v>
      </c>
      <c r="AN104">
        <f t="shared" si="39"/>
        <v>13.0092736</v>
      </c>
      <c r="AO104">
        <f>AO102</f>
        <v>14.158776399999999</v>
      </c>
    </row>
    <row r="105" spans="23:41" x14ac:dyDescent="0.2">
      <c r="W105" t="s">
        <v>7</v>
      </c>
      <c r="X105">
        <f>X8-X104</f>
        <v>18.878466799999998</v>
      </c>
      <c r="Y105">
        <f>Y8-Y104</f>
        <v>18.1143736</v>
      </c>
      <c r="Z105">
        <f>Z8-Z102</f>
        <v>18.752400000000002</v>
      </c>
      <c r="AA105">
        <f>AA8-AA102</f>
        <v>20.704279999999997</v>
      </c>
      <c r="AB105">
        <f>AB8-AB102</f>
        <v>19.63776</v>
      </c>
      <c r="AC105">
        <f>AC8-AC102</f>
        <v>22.372680000000003</v>
      </c>
      <c r="AD105">
        <f>AD8-AD102</f>
        <v>23.487200000000001</v>
      </c>
      <c r="AE105">
        <f t="shared" ref="AE105:AO105" si="40">AE8-AE104</f>
        <v>25.235562800000004</v>
      </c>
      <c r="AF105">
        <f t="shared" si="40"/>
        <v>24.403024796493412</v>
      </c>
      <c r="AG105">
        <f t="shared" si="40"/>
        <v>22.380269823276993</v>
      </c>
      <c r="AH105">
        <f t="shared" si="40"/>
        <v>22.620652800000002</v>
      </c>
      <c r="AI105">
        <f t="shared" si="40"/>
        <v>24.406612000000003</v>
      </c>
      <c r="AJ105">
        <f t="shared" si="40"/>
        <v>25.027505199999997</v>
      </c>
      <c r="AK105">
        <f t="shared" si="40"/>
        <v>25.410826</v>
      </c>
      <c r="AL105">
        <f t="shared" si="40"/>
        <v>30.7996832</v>
      </c>
      <c r="AM105">
        <f t="shared" si="40"/>
        <v>29.8429444</v>
      </c>
      <c r="AN105">
        <f t="shared" si="40"/>
        <v>32.040726399999997</v>
      </c>
      <c r="AO105">
        <f t="shared" si="40"/>
        <v>37.0512236</v>
      </c>
    </row>
    <row r="107" spans="23:41" x14ac:dyDescent="0.2">
      <c r="AE107">
        <f t="shared" ref="AE107:AN107" si="41">AE2</f>
        <v>1977</v>
      </c>
      <c r="AF107">
        <f t="shared" si="41"/>
        <v>1978</v>
      </c>
      <c r="AG107">
        <f t="shared" si="41"/>
        <v>1979</v>
      </c>
      <c r="AH107">
        <f t="shared" si="41"/>
        <v>1980</v>
      </c>
      <c r="AI107">
        <f t="shared" si="41"/>
        <v>1981</v>
      </c>
      <c r="AJ107">
        <f t="shared" si="41"/>
        <v>1982</v>
      </c>
      <c r="AK107">
        <f t="shared" si="41"/>
        <v>1983</v>
      </c>
      <c r="AL107">
        <f t="shared" si="41"/>
        <v>1984</v>
      </c>
      <c r="AM107">
        <f t="shared" si="41"/>
        <v>1985</v>
      </c>
      <c r="AN107">
        <f t="shared" si="41"/>
        <v>1986</v>
      </c>
      <c r="AO107">
        <v>1987</v>
      </c>
    </row>
    <row r="108" spans="23:41" x14ac:dyDescent="0.2">
      <c r="W108" s="2" t="s">
        <v>8</v>
      </c>
      <c r="X108" s="2"/>
      <c r="Y108" s="2"/>
      <c r="Z108" s="2"/>
      <c r="AA108" s="2"/>
      <c r="AB108" s="2"/>
      <c r="AC108" s="2"/>
      <c r="AD108" s="2"/>
    </row>
    <row r="109" spans="23:41" x14ac:dyDescent="0.2">
      <c r="W109">
        <v>384</v>
      </c>
      <c r="X109">
        <v>695.4</v>
      </c>
      <c r="Y109">
        <v>767.6</v>
      </c>
      <c r="AE109">
        <v>1166.2</v>
      </c>
      <c r="AF109" s="3">
        <f>0.67*AE109+0.33*AH109</f>
        <v>1216.8879999999999</v>
      </c>
      <c r="AG109" s="3">
        <f>0.33*AE109+0.67*AH109</f>
        <v>1269.1120000000001</v>
      </c>
      <c r="AH109">
        <v>1319.8</v>
      </c>
      <c r="AI109">
        <v>1372.7</v>
      </c>
      <c r="AJ109">
        <v>1476.9</v>
      </c>
      <c r="AK109">
        <v>1592.8</v>
      </c>
      <c r="AL109">
        <v>1720</v>
      </c>
      <c r="AM109">
        <v>1793.5</v>
      </c>
      <c r="AN109">
        <v>1906.6</v>
      </c>
      <c r="AO109">
        <f>1093.5+985.1+135.3</f>
        <v>2213.9</v>
      </c>
    </row>
    <row r="110" spans="23:41" x14ac:dyDescent="0.2">
      <c r="W110">
        <v>385</v>
      </c>
      <c r="X110">
        <v>182.9</v>
      </c>
      <c r="Y110">
        <v>198.8</v>
      </c>
      <c r="AE110">
        <v>268.89999999999998</v>
      </c>
      <c r="AF110" s="3">
        <f>0.67*AE110+0.33*AH110</f>
        <v>266.887</v>
      </c>
      <c r="AG110" s="3">
        <f>0.33*AE110+0.67*AH110</f>
        <v>264.81299999999999</v>
      </c>
      <c r="AH110">
        <v>262.8</v>
      </c>
      <c r="AI110">
        <v>255.5</v>
      </c>
      <c r="AJ110">
        <v>263.3</v>
      </c>
      <c r="AK110">
        <v>235.9</v>
      </c>
      <c r="AL110">
        <v>297.5</v>
      </c>
      <c r="AM110">
        <v>272.2</v>
      </c>
      <c r="AN110">
        <v>281</v>
      </c>
      <c r="AO110">
        <v>287.39999999999998</v>
      </c>
    </row>
    <row r="111" spans="23:41" x14ac:dyDescent="0.2">
      <c r="AE111">
        <f>SUM(AE109:AE110)</f>
        <v>1435.1</v>
      </c>
      <c r="AF111">
        <f t="shared" ref="AF111:AO111" si="42">SUM(AF109:AF110)</f>
        <v>1483.7749999999999</v>
      </c>
      <c r="AG111">
        <f t="shared" si="42"/>
        <v>1533.9250000000002</v>
      </c>
      <c r="AH111">
        <f t="shared" si="42"/>
        <v>1582.6</v>
      </c>
      <c r="AI111">
        <f t="shared" si="42"/>
        <v>1628.2</v>
      </c>
      <c r="AJ111">
        <f t="shared" si="42"/>
        <v>1740.2</v>
      </c>
      <c r="AK111">
        <f t="shared" si="42"/>
        <v>1828.7</v>
      </c>
      <c r="AL111">
        <f t="shared" si="42"/>
        <v>2017.5</v>
      </c>
      <c r="AM111">
        <f t="shared" si="42"/>
        <v>2065.6999999999998</v>
      </c>
      <c r="AN111">
        <f t="shared" si="42"/>
        <v>2187.6</v>
      </c>
      <c r="AO111">
        <f t="shared" si="42"/>
        <v>2501.3000000000002</v>
      </c>
    </row>
    <row r="112" spans="23:41" x14ac:dyDescent="0.2">
      <c r="AE112" s="5">
        <f>3.412*AE111*0.001</f>
        <v>4.8965611999999989</v>
      </c>
      <c r="AF112" s="5">
        <f t="shared" ref="AF112:AO112" si="43">3.412*AF111*0.001</f>
        <v>5.0626402999999991</v>
      </c>
      <c r="AG112" s="5">
        <f t="shared" si="43"/>
        <v>5.2337521000000011</v>
      </c>
      <c r="AH112" s="5">
        <f t="shared" si="43"/>
        <v>5.3998311999999995</v>
      </c>
      <c r="AI112" s="5">
        <f t="shared" si="43"/>
        <v>5.5554184000000006</v>
      </c>
      <c r="AJ112" s="5">
        <f t="shared" si="43"/>
        <v>5.9375624</v>
      </c>
      <c r="AK112" s="5">
        <f t="shared" si="43"/>
        <v>6.2395244000000005</v>
      </c>
      <c r="AL112" s="5">
        <f t="shared" si="43"/>
        <v>6.8837099999999998</v>
      </c>
      <c r="AM112" s="5">
        <f t="shared" si="43"/>
        <v>7.0481683999999998</v>
      </c>
      <c r="AN112" s="5">
        <f t="shared" si="43"/>
        <v>7.4640912000000004</v>
      </c>
      <c r="AO112" s="5">
        <f t="shared" si="43"/>
        <v>8.5344356000000001</v>
      </c>
    </row>
    <row r="113" spans="20:51" x14ac:dyDescent="0.2">
      <c r="W113" t="s">
        <v>10</v>
      </c>
      <c r="AE113" s="5">
        <f t="shared" ref="AE113:AO113" si="44">AE39-AE112</f>
        <v>56.4844388</v>
      </c>
      <c r="AF113" s="5">
        <f t="shared" si="44"/>
        <v>60.140359700000005</v>
      </c>
      <c r="AG113" s="5">
        <f t="shared" si="44"/>
        <v>64.616247899999991</v>
      </c>
      <c r="AH113" s="5">
        <f t="shared" si="44"/>
        <v>69.041168800000008</v>
      </c>
      <c r="AI113" s="5">
        <f t="shared" si="44"/>
        <v>73.825581599999992</v>
      </c>
      <c r="AJ113" s="5">
        <f t="shared" si="44"/>
        <v>78.8074376</v>
      </c>
      <c r="AK113" s="5">
        <f t="shared" si="44"/>
        <v>82.613475599999987</v>
      </c>
      <c r="AL113" s="5">
        <f t="shared" si="44"/>
        <v>89.650290000000012</v>
      </c>
      <c r="AM113" s="5">
        <f t="shared" si="44"/>
        <v>94.876119200000019</v>
      </c>
      <c r="AN113" s="5">
        <f t="shared" si="44"/>
        <v>99.118258799999992</v>
      </c>
      <c r="AO113" s="5">
        <f t="shared" si="44"/>
        <v>105.55943240000001</v>
      </c>
    </row>
    <row r="114" spans="20:51" x14ac:dyDescent="0.2">
      <c r="W114" t="s">
        <v>11</v>
      </c>
      <c r="AE114" s="5">
        <f t="shared" ref="AE114:AO114" si="45">AE43+AE112</f>
        <v>18.964561199999999</v>
      </c>
      <c r="AF114" s="5">
        <f t="shared" si="45"/>
        <v>18.673640299999999</v>
      </c>
      <c r="AG114" s="5">
        <f t="shared" si="45"/>
        <v>17.836752100000002</v>
      </c>
      <c r="AH114" s="5">
        <f t="shared" si="45"/>
        <v>17.7538312</v>
      </c>
      <c r="AI114" s="5">
        <f t="shared" si="45"/>
        <v>17.943418399999999</v>
      </c>
      <c r="AJ114" s="5">
        <f t="shared" si="45"/>
        <v>18.400562399999998</v>
      </c>
      <c r="AK114" s="5">
        <f t="shared" si="45"/>
        <v>18.615524399999998</v>
      </c>
      <c r="AL114" s="5">
        <f t="shared" si="45"/>
        <v>19.538709999999998</v>
      </c>
      <c r="AM114" s="5">
        <f t="shared" si="45"/>
        <v>18.941718000000002</v>
      </c>
      <c r="AN114" s="5">
        <f t="shared" si="45"/>
        <v>19.592045200000001</v>
      </c>
      <c r="AO114" s="5">
        <f t="shared" si="45"/>
        <v>24.3555384</v>
      </c>
    </row>
    <row r="116" spans="20:51" x14ac:dyDescent="0.2">
      <c r="W116" t="s">
        <v>15</v>
      </c>
    </row>
    <row r="117" spans="20:51" x14ac:dyDescent="0.2">
      <c r="T117" s="52" t="s">
        <v>239</v>
      </c>
      <c r="W117">
        <v>3465</v>
      </c>
      <c r="X117">
        <v>3762.9</v>
      </c>
      <c r="Y117">
        <v>3892.6</v>
      </c>
      <c r="AE117">
        <v>2996.1</v>
      </c>
      <c r="AF117" s="3">
        <f>0.67*AE117+0.33*AH117</f>
        <v>2833.6080000000002</v>
      </c>
      <c r="AG117" s="3">
        <f>0.33*AE117+0.67*AH117</f>
        <v>2666.192</v>
      </c>
      <c r="AH117">
        <v>2503.6999999999998</v>
      </c>
      <c r="AI117">
        <v>2453.4</v>
      </c>
      <c r="AJ117">
        <v>2427.5</v>
      </c>
      <c r="AK117">
        <v>2781.7</v>
      </c>
      <c r="AL117">
        <v>5457</v>
      </c>
      <c r="AM117">
        <v>2967</v>
      </c>
      <c r="AN117">
        <v>3010.6</v>
      </c>
      <c r="AO117">
        <v>3454.6</v>
      </c>
    </row>
    <row r="118" spans="20:51" x14ac:dyDescent="0.2">
      <c r="T118" s="52" t="s">
        <v>242</v>
      </c>
      <c r="AE118" s="5">
        <f t="shared" ref="AE118:AO118" si="46">3.412*AE117*0.001</f>
        <v>10.2226932</v>
      </c>
      <c r="AF118" s="5">
        <f t="shared" si="46"/>
        <v>9.6682704960000017</v>
      </c>
      <c r="AG118" s="5">
        <f t="shared" si="46"/>
        <v>9.0970471039999996</v>
      </c>
      <c r="AH118" s="5">
        <f t="shared" si="46"/>
        <v>8.5426243999999993</v>
      </c>
      <c r="AI118" s="5">
        <f t="shared" si="46"/>
        <v>8.3710007999999991</v>
      </c>
      <c r="AJ118" s="5">
        <f t="shared" si="46"/>
        <v>8.2826299999999993</v>
      </c>
      <c r="AK118" s="5">
        <f t="shared" si="46"/>
        <v>9.4911603999999983</v>
      </c>
      <c r="AL118" s="5">
        <f t="shared" si="46"/>
        <v>18.619284</v>
      </c>
      <c r="AM118" s="5">
        <f t="shared" si="46"/>
        <v>10.123404000000001</v>
      </c>
      <c r="AN118" s="5">
        <f t="shared" si="46"/>
        <v>10.2721672</v>
      </c>
      <c r="AO118" s="5">
        <f t="shared" si="46"/>
        <v>11.7870952</v>
      </c>
    </row>
    <row r="119" spans="20:51" x14ac:dyDescent="0.2">
      <c r="W119" t="s">
        <v>19</v>
      </c>
      <c r="AE119" s="5">
        <f t="shared" ref="AE119:AO119" si="47">AE37-AE118</f>
        <v>79.607306800000018</v>
      </c>
      <c r="AF119" s="5">
        <f t="shared" si="47"/>
        <v>80.301729503999994</v>
      </c>
      <c r="AG119" s="5">
        <f t="shared" si="47"/>
        <v>80.623952896000006</v>
      </c>
      <c r="AH119" s="5">
        <f t="shared" si="47"/>
        <v>77.848375600000011</v>
      </c>
      <c r="AI119" s="5">
        <f t="shared" si="47"/>
        <v>78.767999200000006</v>
      </c>
      <c r="AJ119" s="5">
        <f t="shared" si="47"/>
        <v>78.831370000000007</v>
      </c>
      <c r="AK119" s="5">
        <f t="shared" si="47"/>
        <v>75.241839600000006</v>
      </c>
      <c r="AL119" s="5">
        <f t="shared" si="47"/>
        <v>85.015715999999998</v>
      </c>
      <c r="AM119" s="5">
        <f t="shared" si="47"/>
        <v>85.324225200000001</v>
      </c>
      <c r="AN119" s="5">
        <f t="shared" si="47"/>
        <v>83.012936400000001</v>
      </c>
      <c r="AO119" s="5">
        <f t="shared" si="47"/>
        <v>95.515869199999983</v>
      </c>
    </row>
    <row r="120" spans="20:51" x14ac:dyDescent="0.2">
      <c r="V120" s="2" t="s">
        <v>12</v>
      </c>
      <c r="AE120" s="5"/>
      <c r="AF120" s="5"/>
      <c r="AG120" s="5"/>
      <c r="AH120" s="5"/>
      <c r="AI120" s="5"/>
      <c r="AJ120" s="5"/>
      <c r="AK120" s="5"/>
      <c r="AL120" s="5"/>
      <c r="AM120" s="5"/>
      <c r="AN120" s="5"/>
      <c r="AO120" s="5"/>
      <c r="AQ120" s="5">
        <f>38291*3.412*0.001</f>
        <v>130.64889199999999</v>
      </c>
      <c r="AR120" t="s">
        <v>18</v>
      </c>
    </row>
    <row r="121" spans="20:51" x14ac:dyDescent="0.2">
      <c r="V121" s="2" t="s">
        <v>13</v>
      </c>
      <c r="AX121">
        <f>52449.2*3.412*0.001</f>
        <v>178.95667039999998</v>
      </c>
      <c r="AY121" t="e">
        <f>#REF!/AX121*#REF!</f>
        <v>#REF!</v>
      </c>
    </row>
    <row r="122" spans="20:51" x14ac:dyDescent="0.2">
      <c r="T122" s="52" t="s">
        <v>238</v>
      </c>
      <c r="V122" s="2" t="s">
        <v>14</v>
      </c>
      <c r="W122">
        <v>3592</v>
      </c>
      <c r="AE122">
        <v>810.3</v>
      </c>
      <c r="AF122" s="3">
        <f>0.67*AE122+0.33*AH122</f>
        <v>812.24699999999996</v>
      </c>
      <c r="AG122" s="3">
        <f>0.33*AE122+0.67*AH122</f>
        <v>814.25300000000004</v>
      </c>
      <c r="AH122">
        <v>816.2</v>
      </c>
      <c r="AI122">
        <v>837.2</v>
      </c>
      <c r="AJ122">
        <v>784.1</v>
      </c>
      <c r="AK122">
        <v>837.7</v>
      </c>
      <c r="AL122">
        <v>898.6</v>
      </c>
      <c r="AM122">
        <v>875.2</v>
      </c>
      <c r="AN122">
        <v>814.8</v>
      </c>
      <c r="AO122">
        <v>638.79999999999995</v>
      </c>
    </row>
    <row r="123" spans="20:51" x14ac:dyDescent="0.2">
      <c r="V123">
        <v>321</v>
      </c>
      <c r="AE123" s="5">
        <f>3.412*AE122*0.001</f>
        <v>2.7647435999999996</v>
      </c>
      <c r="AF123" s="5">
        <f t="shared" ref="AF123:AO123" si="48">3.412*AF122*0.001</f>
        <v>2.7713867639999998</v>
      </c>
      <c r="AG123" s="5">
        <f t="shared" si="48"/>
        <v>2.7782312360000003</v>
      </c>
      <c r="AH123" s="5">
        <f t="shared" si="48"/>
        <v>2.7848744000000001</v>
      </c>
      <c r="AI123" s="5">
        <f t="shared" si="48"/>
        <v>2.8565264000000004</v>
      </c>
      <c r="AJ123" s="5">
        <f t="shared" si="48"/>
        <v>2.6753492000000003</v>
      </c>
      <c r="AK123" s="5">
        <f t="shared" si="48"/>
        <v>2.8582323999999999</v>
      </c>
      <c r="AL123" s="5">
        <f t="shared" si="48"/>
        <v>3.0660232000000001</v>
      </c>
      <c r="AM123" s="5">
        <f t="shared" si="48"/>
        <v>2.9861824000000001</v>
      </c>
      <c r="AN123" s="5">
        <f t="shared" si="48"/>
        <v>2.7800975999999995</v>
      </c>
      <c r="AO123" s="5">
        <f t="shared" si="48"/>
        <v>2.1795855999999998</v>
      </c>
    </row>
    <row r="124" spans="20:51" x14ac:dyDescent="0.2">
      <c r="V124">
        <v>322</v>
      </c>
      <c r="W124" t="s">
        <v>17</v>
      </c>
      <c r="AE124" s="5">
        <f t="shared" ref="AE124:AO124" si="49">AE38-AE123</f>
        <v>91.055256400000019</v>
      </c>
      <c r="AF124" s="5">
        <f t="shared" si="49"/>
        <v>95.322613235999995</v>
      </c>
      <c r="AG124" s="5">
        <f t="shared" si="49"/>
        <v>95.506768764000014</v>
      </c>
      <c r="AH124" s="5">
        <f t="shared" si="49"/>
        <v>94.585125600000012</v>
      </c>
      <c r="AI124" s="5">
        <f t="shared" si="49"/>
        <v>96.782473600000003</v>
      </c>
      <c r="AJ124" s="5">
        <f t="shared" si="49"/>
        <v>91.621650799999983</v>
      </c>
      <c r="AK124" s="5">
        <f t="shared" si="49"/>
        <v>84.703767599999992</v>
      </c>
      <c r="AL124" s="5">
        <f t="shared" si="49"/>
        <v>91.310976799999992</v>
      </c>
      <c r="AM124" s="5">
        <f t="shared" si="49"/>
        <v>88.423003600000015</v>
      </c>
      <c r="AN124" s="5">
        <f t="shared" si="49"/>
        <v>86.901933999999983</v>
      </c>
      <c r="AO124" s="5">
        <f t="shared" si="49"/>
        <v>98.510581600000023</v>
      </c>
    </row>
    <row r="125" spans="20:51" x14ac:dyDescent="0.2">
      <c r="V125">
        <v>323</v>
      </c>
      <c r="AE125" s="5"/>
      <c r="AF125" s="5"/>
      <c r="AG125" s="5"/>
      <c r="AH125" s="5"/>
      <c r="AI125" s="5"/>
      <c r="AJ125" s="5"/>
      <c r="AK125" s="5"/>
      <c r="AL125" s="5"/>
      <c r="AM125" s="5"/>
      <c r="AN125" s="5"/>
      <c r="AO125" s="5"/>
    </row>
    <row r="126" spans="20:51" x14ac:dyDescent="0.2">
      <c r="V126">
        <v>324</v>
      </c>
    </row>
    <row r="127" spans="20:51" x14ac:dyDescent="0.2">
      <c r="V127">
        <v>325</v>
      </c>
      <c r="W127">
        <v>3647</v>
      </c>
      <c r="AE127">
        <v>369</v>
      </c>
      <c r="AF127" s="3">
        <f>0.67*AE127+0.33*AH127</f>
        <v>344.67900000000003</v>
      </c>
      <c r="AG127" s="3">
        <f>0.33*AE127+0.67*AH127</f>
        <v>319.62100000000004</v>
      </c>
      <c r="AH127">
        <v>295.3</v>
      </c>
      <c r="AI127">
        <v>301.5</v>
      </c>
      <c r="AJ127">
        <v>298.8</v>
      </c>
      <c r="AK127">
        <v>329.3</v>
      </c>
      <c r="AL127">
        <v>365.4</v>
      </c>
      <c r="AM127">
        <v>366.4</v>
      </c>
      <c r="AN127">
        <v>410.1</v>
      </c>
      <c r="AO127">
        <v>423.9</v>
      </c>
    </row>
    <row r="128" spans="20:51" x14ac:dyDescent="0.2">
      <c r="V128">
        <v>326</v>
      </c>
      <c r="W128">
        <v>3694</v>
      </c>
      <c r="AE128">
        <v>908</v>
      </c>
      <c r="AF128" s="3">
        <f>0.67*AE128+0.33*AH128</f>
        <v>851.53700000000003</v>
      </c>
      <c r="AG128" s="3">
        <f>0.33*AE128+0.67*AH128</f>
        <v>793.36300000000006</v>
      </c>
      <c r="AH128">
        <v>736.9</v>
      </c>
      <c r="AI128">
        <v>721.9</v>
      </c>
      <c r="AJ128">
        <v>588.79999999999995</v>
      </c>
      <c r="AK128">
        <v>682.5</v>
      </c>
      <c r="AL128">
        <v>791</v>
      </c>
      <c r="AM128">
        <v>778.2</v>
      </c>
      <c r="AN128">
        <v>788.9</v>
      </c>
      <c r="AO128">
        <v>1169.2</v>
      </c>
    </row>
    <row r="129" spans="22:50" x14ac:dyDescent="0.2">
      <c r="V129">
        <v>327</v>
      </c>
      <c r="AE129">
        <f>SUM(AE127:AE128)</f>
        <v>1277</v>
      </c>
      <c r="AF129">
        <f t="shared" ref="AF129:AO129" si="50">SUM(AF127:AF128)</f>
        <v>1196.2160000000001</v>
      </c>
      <c r="AG129">
        <f t="shared" si="50"/>
        <v>1112.9840000000002</v>
      </c>
      <c r="AH129">
        <f t="shared" si="50"/>
        <v>1032.2</v>
      </c>
      <c r="AI129">
        <f t="shared" si="50"/>
        <v>1023.4</v>
      </c>
      <c r="AJ129">
        <f t="shared" si="50"/>
        <v>887.59999999999991</v>
      </c>
      <c r="AK129">
        <f t="shared" si="50"/>
        <v>1011.8</v>
      </c>
      <c r="AL129">
        <f t="shared" si="50"/>
        <v>1156.4000000000001</v>
      </c>
      <c r="AM129">
        <f t="shared" si="50"/>
        <v>1144.5999999999999</v>
      </c>
      <c r="AN129">
        <f t="shared" si="50"/>
        <v>1199</v>
      </c>
      <c r="AO129">
        <f t="shared" si="50"/>
        <v>1593.1</v>
      </c>
    </row>
    <row r="130" spans="22:50" x14ac:dyDescent="0.2">
      <c r="V130">
        <v>331</v>
      </c>
      <c r="AE130" s="5">
        <f t="shared" ref="AE130:AO130" si="51">3.412*AE129*0.001</f>
        <v>4.3571239999999998</v>
      </c>
      <c r="AF130" s="5">
        <f t="shared" si="51"/>
        <v>4.0814889920000006</v>
      </c>
      <c r="AG130" s="5">
        <f t="shared" si="51"/>
        <v>3.7975014080000005</v>
      </c>
      <c r="AH130" s="5">
        <f t="shared" si="51"/>
        <v>3.5218664</v>
      </c>
      <c r="AI130" s="5">
        <f t="shared" si="51"/>
        <v>3.4918407999999999</v>
      </c>
      <c r="AJ130" s="5">
        <f t="shared" si="51"/>
        <v>3.0284911999999995</v>
      </c>
      <c r="AK130" s="5">
        <f t="shared" si="51"/>
        <v>3.4522615999999999</v>
      </c>
      <c r="AL130" s="5">
        <f t="shared" si="51"/>
        <v>3.9456368000000004</v>
      </c>
      <c r="AM130" s="5">
        <f t="shared" si="51"/>
        <v>3.9053751999999995</v>
      </c>
      <c r="AN130" s="5">
        <f t="shared" si="51"/>
        <v>4.0909880000000003</v>
      </c>
      <c r="AO130" s="5">
        <f t="shared" si="51"/>
        <v>5.4356571999999996</v>
      </c>
    </row>
    <row r="131" spans="22:50" x14ac:dyDescent="0.2">
      <c r="V131">
        <v>332</v>
      </c>
      <c r="W131" t="s">
        <v>16</v>
      </c>
      <c r="AE131" s="5">
        <f t="shared" ref="AE131:AO131" si="52">AE40-AE130</f>
        <v>41.659875999999997</v>
      </c>
      <c r="AF131" s="5">
        <f t="shared" si="52"/>
        <v>43.542511008000005</v>
      </c>
      <c r="AG131" s="5">
        <f t="shared" si="52"/>
        <v>44.847498591999994</v>
      </c>
      <c r="AH131" s="5">
        <f t="shared" si="52"/>
        <v>42.1731336</v>
      </c>
      <c r="AI131" s="5">
        <f t="shared" si="52"/>
        <v>41.738159200000005</v>
      </c>
      <c r="AJ131" s="5">
        <f t="shared" si="52"/>
        <v>42.410508799999995</v>
      </c>
      <c r="AK131" s="5">
        <f t="shared" si="52"/>
        <v>42.506738399999996</v>
      </c>
      <c r="AL131" s="5">
        <f t="shared" si="52"/>
        <v>45.069363199999998</v>
      </c>
      <c r="AM131" s="5">
        <f t="shared" si="52"/>
        <v>43.0567104</v>
      </c>
      <c r="AN131" s="5">
        <f t="shared" si="52"/>
        <v>43.779372000000002</v>
      </c>
      <c r="AO131" s="5">
        <f t="shared" si="52"/>
        <v>45.316819199999998</v>
      </c>
    </row>
    <row r="132" spans="22:50" x14ac:dyDescent="0.2">
      <c r="V132">
        <v>333</v>
      </c>
    </row>
    <row r="133" spans="22:50" x14ac:dyDescent="0.2">
      <c r="V133">
        <v>334</v>
      </c>
      <c r="W133" t="s">
        <v>20</v>
      </c>
      <c r="AE133" s="5">
        <f t="shared" ref="AE133:AO133" si="53">AE41+AE118+AE123+AE130</f>
        <v>123.3755608</v>
      </c>
      <c r="AF133" s="5">
        <f t="shared" si="53"/>
        <v>124.919146252</v>
      </c>
      <c r="AG133" s="5">
        <f t="shared" si="53"/>
        <v>124.76377974799999</v>
      </c>
      <c r="AH133" s="5">
        <f t="shared" si="53"/>
        <v>117.09936519999999</v>
      </c>
      <c r="AI133" s="5">
        <f t="shared" si="53"/>
        <v>117.38936800000002</v>
      </c>
      <c r="AJ133" s="5">
        <f t="shared" si="53"/>
        <v>112.3094704</v>
      </c>
      <c r="AK133" s="5">
        <f t="shared" si="53"/>
        <v>119.7416544</v>
      </c>
      <c r="AL133" s="5">
        <f t="shared" si="53"/>
        <v>139.87194399999998</v>
      </c>
      <c r="AM133" s="5">
        <f t="shared" si="53"/>
        <v>134.85349959999999</v>
      </c>
      <c r="AN133" s="5">
        <f t="shared" si="53"/>
        <v>139.39896600000003</v>
      </c>
      <c r="AO133" s="5">
        <f t="shared" si="53"/>
        <v>150.05157120000001</v>
      </c>
    </row>
    <row r="134" spans="22:50" x14ac:dyDescent="0.2">
      <c r="V134">
        <v>335</v>
      </c>
    </row>
    <row r="135" spans="22:50" x14ac:dyDescent="0.2">
      <c r="V135">
        <v>336</v>
      </c>
      <c r="W135" t="s">
        <v>21</v>
      </c>
    </row>
    <row r="136" spans="22:50" x14ac:dyDescent="0.2">
      <c r="W136">
        <v>3599</v>
      </c>
      <c r="AE136">
        <v>2176.6999999999998</v>
      </c>
      <c r="AF136" s="3">
        <f>0.67*AE136+0.33*AH136</f>
        <v>2260.52</v>
      </c>
      <c r="AG136" s="3">
        <f>0.33*AE136+0.67*AH136</f>
        <v>2346.88</v>
      </c>
      <c r="AH136">
        <v>2430.6999999999998</v>
      </c>
      <c r="AI136">
        <v>2393</v>
      </c>
      <c r="AJ136">
        <v>2295.5</v>
      </c>
      <c r="AK136">
        <v>2153.5</v>
      </c>
      <c r="AL136">
        <v>2061.9</v>
      </c>
      <c r="AM136">
        <v>1736.9</v>
      </c>
      <c r="AN136">
        <v>1596</v>
      </c>
      <c r="AO136">
        <v>2850.8</v>
      </c>
    </row>
    <row r="137" spans="22:50" x14ac:dyDescent="0.2">
      <c r="W137" t="s">
        <v>131</v>
      </c>
      <c r="AM137">
        <v>232.2</v>
      </c>
      <c r="AN137">
        <v>224.4</v>
      </c>
      <c r="AO137">
        <v>228.5</v>
      </c>
    </row>
    <row r="138" spans="22:50" x14ac:dyDescent="0.2">
      <c r="W138" t="s">
        <v>129</v>
      </c>
      <c r="AE138">
        <f t="shared" ref="AE138:AM138" si="54">AE136/AF136*AF138</f>
        <v>3818.291569141672</v>
      </c>
      <c r="AF138">
        <f t="shared" si="54"/>
        <v>3965.3257030716832</v>
      </c>
      <c r="AG138">
        <f t="shared" si="54"/>
        <v>4116.8154168177552</v>
      </c>
      <c r="AH138">
        <f t="shared" si="54"/>
        <v>4263.8495507477655</v>
      </c>
      <c r="AI138">
        <f t="shared" si="54"/>
        <v>4197.7175196196176</v>
      </c>
      <c r="AJ138">
        <f t="shared" si="54"/>
        <v>4026.6864046330265</v>
      </c>
      <c r="AK138">
        <f t="shared" si="54"/>
        <v>3777.5949346012735</v>
      </c>
      <c r="AL138">
        <f t="shared" si="54"/>
        <v>3616.9133947779733</v>
      </c>
      <c r="AM138">
        <f t="shared" si="54"/>
        <v>3046.809678156003</v>
      </c>
      <c r="AN138">
        <f>AN137/AO137*AO136</f>
        <v>2799.6477899343545</v>
      </c>
      <c r="AO138">
        <v>2850.8</v>
      </c>
      <c r="AR138">
        <f>SUM(AO138:AO140)</f>
        <v>4405.8999999999996</v>
      </c>
    </row>
    <row r="139" spans="22:50" x14ac:dyDescent="0.2">
      <c r="W139">
        <v>3543</v>
      </c>
      <c r="AE139" s="3">
        <f t="shared" ref="AE139:AN139" si="55">$AX139*AE38</f>
        <v>97.090354220804201</v>
      </c>
      <c r="AF139" s="3">
        <f t="shared" si="55"/>
        <v>101.51333624957967</v>
      </c>
      <c r="AG139" s="3">
        <f t="shared" si="55"/>
        <v>101.71099408006543</v>
      </c>
      <c r="AH139" s="3">
        <f t="shared" si="55"/>
        <v>100.76409923768604</v>
      </c>
      <c r="AI139" s="3">
        <f t="shared" si="55"/>
        <v>103.11219147523671</v>
      </c>
      <c r="AJ139" s="3">
        <f t="shared" si="55"/>
        <v>97.583981368142929</v>
      </c>
      <c r="AK139" s="3">
        <f t="shared" si="55"/>
        <v>90.614214413579774</v>
      </c>
      <c r="AL139" s="3">
        <f t="shared" si="55"/>
        <v>97.666769988241683</v>
      </c>
      <c r="AM139" s="3">
        <f t="shared" si="55"/>
        <v>94.595504666119965</v>
      </c>
      <c r="AN139" s="3">
        <f t="shared" si="55"/>
        <v>92.808145547701471</v>
      </c>
      <c r="AO139">
        <v>104.2</v>
      </c>
      <c r="AR139" t="s">
        <v>132</v>
      </c>
      <c r="AU139" t="s">
        <v>133</v>
      </c>
      <c r="AX139">
        <f>AO139/AO38</f>
        <v>1.0348577512343229</v>
      </c>
    </row>
    <row r="140" spans="22:50" x14ac:dyDescent="0.2">
      <c r="W140">
        <v>3562</v>
      </c>
      <c r="AE140">
        <v>1286.0999999999999</v>
      </c>
      <c r="AF140" s="3">
        <f>0.67*AE140+0.33*AH140</f>
        <v>1289.598</v>
      </c>
      <c r="AG140" s="3">
        <f>0.33*AE140+0.67*AH140</f>
        <v>1293.2020000000002</v>
      </c>
      <c r="AH140">
        <v>1296.7</v>
      </c>
      <c r="AI140">
        <v>1064.9000000000001</v>
      </c>
      <c r="AJ140">
        <v>1255.0999999999999</v>
      </c>
      <c r="AK140">
        <v>1271.7</v>
      </c>
      <c r="AL140">
        <v>1439.6</v>
      </c>
      <c r="AM140">
        <v>1379</v>
      </c>
      <c r="AN140">
        <v>1438.3</v>
      </c>
      <c r="AO140">
        <v>1450.9</v>
      </c>
    </row>
    <row r="141" spans="22:50" x14ac:dyDescent="0.2">
      <c r="AE141">
        <f>SUM(AE138:AE140)</f>
        <v>5201.4819233624767</v>
      </c>
      <c r="AF141">
        <f t="shared" ref="AF141:AN141" si="56">SUM(AF138:AF140)</f>
        <v>5356.437039321263</v>
      </c>
      <c r="AG141">
        <f t="shared" si="56"/>
        <v>5511.728410897821</v>
      </c>
      <c r="AH141">
        <f t="shared" si="56"/>
        <v>5661.3136499854518</v>
      </c>
      <c r="AI141">
        <f t="shared" si="56"/>
        <v>5365.7297110948548</v>
      </c>
      <c r="AJ141">
        <f t="shared" si="56"/>
        <v>5379.3703860011701</v>
      </c>
      <c r="AK141">
        <f t="shared" si="56"/>
        <v>5139.909149014853</v>
      </c>
      <c r="AL141">
        <f t="shared" si="56"/>
        <v>5154.1801647662151</v>
      </c>
      <c r="AM141">
        <f t="shared" si="56"/>
        <v>4520.4051828221236</v>
      </c>
      <c r="AN141">
        <f t="shared" si="56"/>
        <v>4330.755935482056</v>
      </c>
      <c r="AO141">
        <f>SUM(AO138:AO140)</f>
        <v>4405.8999999999996</v>
      </c>
      <c r="AP141">
        <f>AN138/AN136</f>
        <v>1.7541652819137559</v>
      </c>
    </row>
    <row r="142" spans="22:50" x14ac:dyDescent="0.2">
      <c r="W142" t="s">
        <v>130</v>
      </c>
      <c r="AE142" s="5">
        <f t="shared" ref="AE142:AO142" si="57">3.412*AE141*0.001</f>
        <v>17.747456322512772</v>
      </c>
      <c r="AF142" s="5">
        <f t="shared" si="57"/>
        <v>18.276163178164147</v>
      </c>
      <c r="AG142" s="5">
        <f t="shared" si="57"/>
        <v>18.806017337983366</v>
      </c>
      <c r="AH142" s="5">
        <f t="shared" si="57"/>
        <v>19.316402173750362</v>
      </c>
      <c r="AI142" s="5">
        <f t="shared" si="57"/>
        <v>18.307869774255643</v>
      </c>
      <c r="AJ142" s="5">
        <f t="shared" si="57"/>
        <v>18.354411757035994</v>
      </c>
      <c r="AK142" s="5">
        <f t="shared" si="57"/>
        <v>17.537370016438679</v>
      </c>
      <c r="AL142" s="5">
        <f t="shared" si="57"/>
        <v>17.586062722182326</v>
      </c>
      <c r="AM142" s="5">
        <f t="shared" si="57"/>
        <v>15.423622483789087</v>
      </c>
      <c r="AN142" s="5">
        <f t="shared" si="57"/>
        <v>14.776539251864776</v>
      </c>
      <c r="AO142" s="5">
        <f t="shared" si="57"/>
        <v>15.032930799999999</v>
      </c>
    </row>
    <row r="144" spans="22:50" x14ac:dyDescent="0.2">
      <c r="W144" t="s">
        <v>148</v>
      </c>
    </row>
    <row r="145" spans="17:44" x14ac:dyDescent="0.2">
      <c r="T145" s="52" t="s">
        <v>240</v>
      </c>
      <c r="W145">
        <v>2434</v>
      </c>
      <c r="AE145">
        <v>416.4</v>
      </c>
      <c r="AF145" s="3">
        <f>0.67*AE145+0.33*AH145</f>
        <v>408.21600000000001</v>
      </c>
      <c r="AG145" s="3">
        <f>0.33*AE145+0.67*AH145</f>
        <v>399.78399999999999</v>
      </c>
      <c r="AH145">
        <v>391.6</v>
      </c>
      <c r="AI145">
        <v>335.7</v>
      </c>
      <c r="AJ145">
        <v>341.3</v>
      </c>
      <c r="AK145">
        <v>390.6</v>
      </c>
      <c r="AL145">
        <v>483.6</v>
      </c>
      <c r="AM145">
        <v>458.9</v>
      </c>
      <c r="AN145">
        <v>474.8</v>
      </c>
      <c r="AO145">
        <v>641.70000000000005</v>
      </c>
    </row>
    <row r="146" spans="17:44" x14ac:dyDescent="0.2">
      <c r="W146" t="s">
        <v>134</v>
      </c>
      <c r="AE146">
        <f>AE145*3.412*0.001</f>
        <v>1.4207567999999999</v>
      </c>
      <c r="AF146">
        <f t="shared" ref="AF146:AO146" si="58">AF145*3.412*0.001</f>
        <v>1.3928329920000002</v>
      </c>
      <c r="AG146">
        <f t="shared" si="58"/>
        <v>1.3640630079999998</v>
      </c>
      <c r="AH146">
        <f t="shared" si="58"/>
        <v>1.3361392000000001</v>
      </c>
      <c r="AI146">
        <f t="shared" si="58"/>
        <v>1.1454084</v>
      </c>
      <c r="AJ146">
        <f t="shared" si="58"/>
        <v>1.1645155999999999</v>
      </c>
      <c r="AK146">
        <f t="shared" si="58"/>
        <v>1.3327272000000001</v>
      </c>
      <c r="AL146">
        <f t="shared" si="58"/>
        <v>1.6500432</v>
      </c>
      <c r="AM146">
        <f t="shared" si="58"/>
        <v>1.5657668</v>
      </c>
      <c r="AN146">
        <f t="shared" si="58"/>
        <v>1.6200175999999999</v>
      </c>
      <c r="AO146">
        <f t="shared" si="58"/>
        <v>2.1894803999999999</v>
      </c>
    </row>
    <row r="147" spans="17:44" x14ac:dyDescent="0.2">
      <c r="W147" t="s">
        <v>149</v>
      </c>
      <c r="AE147">
        <f t="shared" ref="AE147:AO147" si="59">AE146/AE29</f>
        <v>2.5774768694894958E-2</v>
      </c>
      <c r="AF147">
        <f t="shared" si="59"/>
        <v>2.449066310310874E-2</v>
      </c>
      <c r="AG147">
        <f t="shared" si="59"/>
        <v>2.4884395213076473E-2</v>
      </c>
      <c r="AH147">
        <f t="shared" si="59"/>
        <v>2.6698755120391649E-2</v>
      </c>
      <c r="AI147">
        <f t="shared" si="59"/>
        <v>2.3107353386188949E-2</v>
      </c>
      <c r="AJ147">
        <f t="shared" si="59"/>
        <v>2.3349151862693984E-2</v>
      </c>
      <c r="AK147">
        <f t="shared" si="59"/>
        <v>2.5286542073807042E-2</v>
      </c>
      <c r="AL147">
        <f t="shared" si="59"/>
        <v>2.8901984550980014E-2</v>
      </c>
      <c r="AM147">
        <f t="shared" si="59"/>
        <v>2.7371685902597597E-2</v>
      </c>
      <c r="AN147">
        <f t="shared" si="59"/>
        <v>2.6734836370188513E-2</v>
      </c>
      <c r="AO147">
        <f t="shared" si="59"/>
        <v>3.0905938448201126E-2</v>
      </c>
    </row>
    <row r="155" spans="17:44" x14ac:dyDescent="0.2">
      <c r="V155" s="52" t="s">
        <v>243</v>
      </c>
    </row>
    <row r="157" spans="17:44" x14ac:dyDescent="0.2">
      <c r="X157">
        <f>1970</f>
        <v>1970</v>
      </c>
      <c r="Y157">
        <f t="shared" ref="Y157:AD157" si="60">X157+1</f>
        <v>1971</v>
      </c>
      <c r="Z157">
        <f t="shared" si="60"/>
        <v>1972</v>
      </c>
      <c r="AA157">
        <f t="shared" si="60"/>
        <v>1973</v>
      </c>
      <c r="AB157">
        <f t="shared" si="60"/>
        <v>1974</v>
      </c>
      <c r="AC157">
        <f t="shared" si="60"/>
        <v>1975</v>
      </c>
      <c r="AD157">
        <f t="shared" si="60"/>
        <v>1976</v>
      </c>
      <c r="AE157">
        <v>1977</v>
      </c>
      <c r="AF157">
        <f>AE157+1</f>
        <v>1978</v>
      </c>
      <c r="AG157">
        <f t="shared" ref="AG157:AO157" si="61">AF157+1</f>
        <v>1979</v>
      </c>
      <c r="AH157">
        <f t="shared" si="61"/>
        <v>1980</v>
      </c>
      <c r="AI157">
        <f t="shared" si="61"/>
        <v>1981</v>
      </c>
      <c r="AJ157">
        <f t="shared" si="61"/>
        <v>1982</v>
      </c>
      <c r="AK157">
        <f t="shared" si="61"/>
        <v>1983</v>
      </c>
      <c r="AL157">
        <f t="shared" si="61"/>
        <v>1984</v>
      </c>
      <c r="AM157">
        <f t="shared" si="61"/>
        <v>1985</v>
      </c>
      <c r="AN157">
        <f t="shared" si="61"/>
        <v>1986</v>
      </c>
      <c r="AO157">
        <f t="shared" si="61"/>
        <v>1987</v>
      </c>
      <c r="AQ157" t="s">
        <v>28</v>
      </c>
    </row>
    <row r="158" spans="17:44" x14ac:dyDescent="0.2">
      <c r="Q158" s="52" t="s">
        <v>241</v>
      </c>
      <c r="R158" t="str">
        <f t="shared" ref="R158:R175" si="62">V158</f>
        <v>311-312</v>
      </c>
      <c r="S158">
        <f t="shared" ref="S158:S175" si="63">AE158/AE26</f>
        <v>1</v>
      </c>
      <c r="V158" t="str">
        <f>V26</f>
        <v>311-312</v>
      </c>
      <c r="W158">
        <f>W26</f>
        <v>1</v>
      </c>
      <c r="X158" s="57">
        <f>X26</f>
        <v>118.012</v>
      </c>
      <c r="Y158" s="57">
        <f t="shared" ref="Y158:AD158" si="64">Y26</f>
        <v>118.377</v>
      </c>
      <c r="Z158" s="57">
        <f t="shared" si="64"/>
        <v>120.59500000000001</v>
      </c>
      <c r="AA158" s="57">
        <f t="shared" si="64"/>
        <v>125.497</v>
      </c>
      <c r="AB158" s="57">
        <f t="shared" si="64"/>
        <v>129.32599999999999</v>
      </c>
      <c r="AC158" s="57">
        <f t="shared" si="64"/>
        <v>134.33099999999999</v>
      </c>
      <c r="AD158" s="57">
        <f t="shared" si="64"/>
        <v>137.11600000000001</v>
      </c>
      <c r="AE158">
        <f t="shared" ref="AE158:AO158" si="65">AE26</f>
        <v>140.90299999999999</v>
      </c>
      <c r="AF158">
        <f t="shared" si="65"/>
        <v>142.58099999999999</v>
      </c>
      <c r="AG158">
        <f t="shared" si="65"/>
        <v>139.40300000000002</v>
      </c>
      <c r="AH158">
        <f t="shared" si="65"/>
        <v>145.04899999999998</v>
      </c>
      <c r="AI158">
        <f t="shared" si="65"/>
        <v>146.20400000000001</v>
      </c>
      <c r="AJ158">
        <f t="shared" si="65"/>
        <v>161.75099999999998</v>
      </c>
      <c r="AK158">
        <f t="shared" si="65"/>
        <v>154.989</v>
      </c>
      <c r="AL158">
        <f t="shared" si="65"/>
        <v>159.596</v>
      </c>
      <c r="AM158">
        <f t="shared" si="65"/>
        <v>159.61404240000002</v>
      </c>
      <c r="AN158">
        <f t="shared" si="65"/>
        <v>162.34671320000001</v>
      </c>
      <c r="AO158">
        <f t="shared" si="65"/>
        <v>175.813536</v>
      </c>
      <c r="AQ158">
        <f t="shared" ref="AQ158:AQ175" si="66">AQ3</f>
        <v>175.813536</v>
      </c>
      <c r="AR158">
        <f>AQ158/3.412*1000</f>
        <v>51528</v>
      </c>
    </row>
    <row r="159" spans="17:44" x14ac:dyDescent="0.2">
      <c r="R159" t="str">
        <f t="shared" si="62"/>
        <v>313-314</v>
      </c>
      <c r="S159">
        <f t="shared" si="63"/>
        <v>1</v>
      </c>
      <c r="V159" t="str">
        <f t="shared" ref="V159:W175" si="67">V27</f>
        <v>313-314</v>
      </c>
      <c r="W159">
        <f t="shared" si="67"/>
        <v>2</v>
      </c>
      <c r="X159" s="57">
        <f t="shared" ref="X159:AD160" si="68">X27</f>
        <v>84.37299999999999</v>
      </c>
      <c r="Y159" s="57">
        <f t="shared" si="68"/>
        <v>88.457999999999998</v>
      </c>
      <c r="Z159" s="57">
        <f t="shared" si="68"/>
        <v>96.656999999999996</v>
      </c>
      <c r="AA159" s="57">
        <f t="shared" si="68"/>
        <v>100.96899999999999</v>
      </c>
      <c r="AB159" s="57">
        <f t="shared" si="68"/>
        <v>93.606000000000009</v>
      </c>
      <c r="AC159" s="57">
        <f t="shared" si="68"/>
        <v>92.954999999999998</v>
      </c>
      <c r="AD159" s="57">
        <f t="shared" si="68"/>
        <v>97.764999999999986</v>
      </c>
      <c r="AE159">
        <f t="shared" ref="AE159:AO159" si="69">AE27</f>
        <v>96.554999999999993</v>
      </c>
      <c r="AF159">
        <f t="shared" si="69"/>
        <v>96.180999999999997</v>
      </c>
      <c r="AG159">
        <f t="shared" si="69"/>
        <v>94.64800000000001</v>
      </c>
      <c r="AH159">
        <f t="shared" si="69"/>
        <v>91.668000000000006</v>
      </c>
      <c r="AI159">
        <f t="shared" si="69"/>
        <v>91.216999999999999</v>
      </c>
      <c r="AJ159">
        <f t="shared" si="69"/>
        <v>85.969000000000008</v>
      </c>
      <c r="AK159">
        <f t="shared" si="69"/>
        <v>93.38000000000001</v>
      </c>
      <c r="AL159">
        <f t="shared" si="69"/>
        <v>95.377999999999986</v>
      </c>
      <c r="AM159">
        <f t="shared" si="69"/>
        <v>91.731961199999986</v>
      </c>
      <c r="AN159">
        <f t="shared" si="69"/>
        <v>94.829033600000017</v>
      </c>
      <c r="AO159">
        <f t="shared" si="69"/>
        <v>106.82596680000002</v>
      </c>
      <c r="AQ159">
        <f t="shared" si="66"/>
        <v>100.9068292</v>
      </c>
      <c r="AR159">
        <f t="shared" ref="AR159:AR175" si="70">AQ159/3.412*1000</f>
        <v>29574.100000000002</v>
      </c>
    </row>
    <row r="160" spans="17:44" x14ac:dyDescent="0.2">
      <c r="R160" t="str">
        <f t="shared" si="62"/>
        <v>315-316</v>
      </c>
      <c r="S160">
        <f t="shared" si="63"/>
        <v>1</v>
      </c>
      <c r="V160" t="str">
        <f t="shared" si="67"/>
        <v>315-316</v>
      </c>
      <c r="W160">
        <f t="shared" si="67"/>
        <v>3</v>
      </c>
      <c r="X160" s="57">
        <f t="shared" si="68"/>
        <v>21.666</v>
      </c>
      <c r="Y160" s="57">
        <f t="shared" si="68"/>
        <v>21.315000000000001</v>
      </c>
      <c r="Z160" s="57">
        <f t="shared" si="68"/>
        <v>24.856000000000002</v>
      </c>
      <c r="AA160" s="57">
        <f t="shared" si="68"/>
        <v>25.651</v>
      </c>
      <c r="AB160" s="57">
        <f t="shared" si="68"/>
        <v>25.044000000000004</v>
      </c>
      <c r="AC160" s="57">
        <f t="shared" si="68"/>
        <v>26.220000000000002</v>
      </c>
      <c r="AD160" s="57">
        <f t="shared" si="68"/>
        <v>26.064999999999998</v>
      </c>
      <c r="AE160">
        <f t="shared" ref="AE160:AO160" si="71">AE28</f>
        <v>25.074000000000002</v>
      </c>
      <c r="AF160">
        <f t="shared" si="71"/>
        <v>23.367999999999999</v>
      </c>
      <c r="AG160">
        <f t="shared" si="71"/>
        <v>20.452999999999999</v>
      </c>
      <c r="AH160">
        <f t="shared" si="71"/>
        <v>21.411000000000001</v>
      </c>
      <c r="AI160">
        <f t="shared" si="71"/>
        <v>21.231000000000002</v>
      </c>
      <c r="AJ160">
        <f t="shared" si="71"/>
        <v>21.222000000000001</v>
      </c>
      <c r="AK160">
        <f t="shared" si="71"/>
        <v>21.192</v>
      </c>
      <c r="AL160">
        <f t="shared" si="71"/>
        <v>23.468999999999998</v>
      </c>
      <c r="AM160">
        <f t="shared" si="71"/>
        <v>19.829520399999996</v>
      </c>
      <c r="AN160">
        <f t="shared" si="71"/>
        <v>20.001826399999999</v>
      </c>
      <c r="AO160">
        <f t="shared" si="71"/>
        <v>20.253290799999998</v>
      </c>
      <c r="AQ160">
        <f t="shared" si="66"/>
        <v>26.450506399999998</v>
      </c>
      <c r="AR160">
        <f t="shared" si="70"/>
        <v>7752.1999999999989</v>
      </c>
    </row>
    <row r="161" spans="18:44" x14ac:dyDescent="0.2">
      <c r="R161">
        <f t="shared" si="62"/>
        <v>321</v>
      </c>
      <c r="S161">
        <f t="shared" si="63"/>
        <v>0.97422523130510508</v>
      </c>
      <c r="V161">
        <f t="shared" si="67"/>
        <v>321</v>
      </c>
      <c r="W161">
        <f t="shared" si="67"/>
        <v>4</v>
      </c>
      <c r="X161" s="57">
        <f t="shared" ref="X161:AD161" si="72">$S$161*X29</f>
        <v>34.844139622858393</v>
      </c>
      <c r="Y161" s="57">
        <f t="shared" si="72"/>
        <v>38.666025205268312</v>
      </c>
      <c r="Z161" s="57">
        <f t="shared" si="72"/>
        <v>45.142674542984658</v>
      </c>
      <c r="AA161" s="57">
        <f t="shared" si="72"/>
        <v>45.391101976967455</v>
      </c>
      <c r="AB161" s="57">
        <f t="shared" si="72"/>
        <v>49.45849231766627</v>
      </c>
      <c r="AC161" s="57">
        <f t="shared" si="72"/>
        <v>48.171540787112221</v>
      </c>
      <c r="AD161" s="57">
        <f t="shared" si="72"/>
        <v>51.796632872798526</v>
      </c>
      <c r="AE161">
        <f t="shared" ref="AE161:AO161" si="73">AE29-AE146</f>
        <v>53.7012432</v>
      </c>
      <c r="AF161">
        <f t="shared" si="73"/>
        <v>55.479167007999997</v>
      </c>
      <c r="AG161">
        <f t="shared" si="73"/>
        <v>53.451936991999993</v>
      </c>
      <c r="AH161">
        <f t="shared" si="73"/>
        <v>48.708860800000004</v>
      </c>
      <c r="AI161">
        <f t="shared" si="73"/>
        <v>48.423591599999995</v>
      </c>
      <c r="AJ161">
        <f t="shared" si="73"/>
        <v>48.709484400000001</v>
      </c>
      <c r="AK161">
        <f t="shared" si="73"/>
        <v>51.372272799999998</v>
      </c>
      <c r="AL161">
        <f t="shared" si="73"/>
        <v>55.440956800000002</v>
      </c>
      <c r="AM161">
        <f t="shared" si="73"/>
        <v>55.638119199999998</v>
      </c>
      <c r="AN161">
        <f t="shared" si="73"/>
        <v>58.975737600000009</v>
      </c>
      <c r="AO161">
        <f t="shared" si="73"/>
        <v>68.653875600000006</v>
      </c>
      <c r="AQ161">
        <f t="shared" si="66"/>
        <v>68.653875599999992</v>
      </c>
      <c r="AR161">
        <f t="shared" si="70"/>
        <v>20121.3</v>
      </c>
    </row>
    <row r="162" spans="18:44" x14ac:dyDescent="0.2">
      <c r="R162">
        <f t="shared" si="62"/>
        <v>322</v>
      </c>
      <c r="S162">
        <f t="shared" si="63"/>
        <v>1</v>
      </c>
      <c r="V162">
        <f t="shared" si="67"/>
        <v>322</v>
      </c>
      <c r="W162">
        <f t="shared" si="67"/>
        <v>5</v>
      </c>
      <c r="X162" s="57">
        <f>X30</f>
        <v>112.87</v>
      </c>
      <c r="Y162" s="57">
        <f t="shared" ref="Y162:AD162" si="74">Y30</f>
        <v>119.11399999999999</v>
      </c>
      <c r="Z162" s="57">
        <f t="shared" si="74"/>
        <v>125.52799999999999</v>
      </c>
      <c r="AA162" s="57">
        <f t="shared" si="74"/>
        <v>129.98500000000001</v>
      </c>
      <c r="AB162" s="57">
        <f t="shared" si="74"/>
        <v>139.44900000000001</v>
      </c>
      <c r="AC162" s="57">
        <f t="shared" si="74"/>
        <v>133.482</v>
      </c>
      <c r="AD162" s="57">
        <f t="shared" si="74"/>
        <v>148.279</v>
      </c>
      <c r="AE162">
        <f t="shared" ref="AE162:AO162" si="75">AE30</f>
        <v>152.04</v>
      </c>
      <c r="AF162">
        <f t="shared" si="75"/>
        <v>155.625</v>
      </c>
      <c r="AG162">
        <f t="shared" si="75"/>
        <v>157.50199999999998</v>
      </c>
      <c r="AH162">
        <f t="shared" si="75"/>
        <v>169.52399999999997</v>
      </c>
      <c r="AI162">
        <f t="shared" si="75"/>
        <v>178.10300000000001</v>
      </c>
      <c r="AJ162">
        <f t="shared" si="75"/>
        <v>172.44199999999998</v>
      </c>
      <c r="AK162">
        <f t="shared" si="75"/>
        <v>176.792</v>
      </c>
      <c r="AL162">
        <f t="shared" si="75"/>
        <v>182.90299999999999</v>
      </c>
      <c r="AM162">
        <f t="shared" si="75"/>
        <v>178.95667040000001</v>
      </c>
      <c r="AN162">
        <f t="shared" si="75"/>
        <v>198.8902568</v>
      </c>
      <c r="AO162">
        <f t="shared" si="75"/>
        <v>202.15315239999998</v>
      </c>
      <c r="AQ162">
        <f t="shared" si="66"/>
        <v>202.15281119999997</v>
      </c>
      <c r="AR162">
        <f t="shared" si="70"/>
        <v>59247.599999999991</v>
      </c>
    </row>
    <row r="163" spans="18:44" x14ac:dyDescent="0.2">
      <c r="R163">
        <f t="shared" si="62"/>
        <v>323</v>
      </c>
      <c r="S163">
        <f t="shared" si="63"/>
        <v>0.70077373024909062</v>
      </c>
      <c r="V163">
        <f t="shared" si="67"/>
        <v>323</v>
      </c>
      <c r="W163">
        <f t="shared" si="67"/>
        <v>6</v>
      </c>
      <c r="X163" s="58">
        <f t="shared" ref="X163:AD163" si="76">X105</f>
        <v>18.878466799999998</v>
      </c>
      <c r="Y163" s="58">
        <f t="shared" si="76"/>
        <v>18.1143736</v>
      </c>
      <c r="Z163" s="58">
        <f t="shared" si="76"/>
        <v>18.752400000000002</v>
      </c>
      <c r="AA163" s="58">
        <f t="shared" si="76"/>
        <v>20.704279999999997</v>
      </c>
      <c r="AB163" s="58">
        <f t="shared" si="76"/>
        <v>19.63776</v>
      </c>
      <c r="AC163" s="58">
        <f t="shared" si="76"/>
        <v>22.372680000000003</v>
      </c>
      <c r="AD163" s="58">
        <f t="shared" si="76"/>
        <v>23.487200000000001</v>
      </c>
      <c r="AE163" s="9">
        <f t="shared" ref="AE163:AO163" si="77">AE105</f>
        <v>25.235562800000004</v>
      </c>
      <c r="AF163" s="9">
        <f t="shared" si="77"/>
        <v>24.403024796493412</v>
      </c>
      <c r="AG163" s="9">
        <f t="shared" si="77"/>
        <v>22.380269823276993</v>
      </c>
      <c r="AH163" s="9">
        <f t="shared" si="77"/>
        <v>22.620652800000002</v>
      </c>
      <c r="AI163" s="9">
        <f t="shared" si="77"/>
        <v>24.406612000000003</v>
      </c>
      <c r="AJ163" s="9">
        <f t="shared" si="77"/>
        <v>25.027505199999997</v>
      </c>
      <c r="AK163" s="9">
        <f t="shared" si="77"/>
        <v>25.410826</v>
      </c>
      <c r="AL163" s="9">
        <f t="shared" si="77"/>
        <v>30.7996832</v>
      </c>
      <c r="AM163" s="9">
        <f t="shared" si="77"/>
        <v>29.8429444</v>
      </c>
      <c r="AN163" s="9">
        <f t="shared" si="77"/>
        <v>32.040726399999997</v>
      </c>
      <c r="AO163" s="9">
        <f t="shared" si="77"/>
        <v>37.0512236</v>
      </c>
      <c r="AQ163">
        <f t="shared" si="66"/>
        <v>38.495548799999995</v>
      </c>
      <c r="AR163">
        <f t="shared" si="70"/>
        <v>11282.4</v>
      </c>
    </row>
    <row r="164" spans="18:44" x14ac:dyDescent="0.2">
      <c r="R164">
        <f t="shared" si="62"/>
        <v>324</v>
      </c>
      <c r="S164">
        <f t="shared" si="63"/>
        <v>1</v>
      </c>
      <c r="V164">
        <f t="shared" si="67"/>
        <v>324</v>
      </c>
      <c r="W164">
        <f t="shared" si="67"/>
        <v>7</v>
      </c>
      <c r="X164" s="57">
        <f>X32</f>
        <v>74.986000000000004</v>
      </c>
      <c r="Y164" s="57">
        <f t="shared" ref="Y164:AD164" si="78">Y32</f>
        <v>80.489000000000004</v>
      </c>
      <c r="Z164" s="57">
        <f t="shared" si="78"/>
        <v>84.679000000000002</v>
      </c>
      <c r="AA164" s="57">
        <f t="shared" si="78"/>
        <v>88.725999999999999</v>
      </c>
      <c r="AB164" s="57">
        <f t="shared" si="78"/>
        <v>92.944000000000003</v>
      </c>
      <c r="AC164" s="57">
        <f t="shared" si="78"/>
        <v>90.073999999999998</v>
      </c>
      <c r="AD164" s="57">
        <f t="shared" si="78"/>
        <v>94.558000000000007</v>
      </c>
      <c r="AE164">
        <f t="shared" ref="AE164:AO164" si="79">AE32</f>
        <v>102.883</v>
      </c>
      <c r="AF164">
        <f t="shared" si="79"/>
        <v>103.254</v>
      </c>
      <c r="AG164">
        <f t="shared" si="79"/>
        <v>107.718</v>
      </c>
      <c r="AH164">
        <f t="shared" si="79"/>
        <v>109.90799999999999</v>
      </c>
      <c r="AI164">
        <f t="shared" si="79"/>
        <v>111.048</v>
      </c>
      <c r="AJ164">
        <f t="shared" si="79"/>
        <v>116.64</v>
      </c>
      <c r="AK164">
        <f t="shared" si="79"/>
        <v>114.111</v>
      </c>
      <c r="AL164">
        <f t="shared" si="79"/>
        <v>118.72799999999999</v>
      </c>
      <c r="AM164">
        <f t="shared" si="79"/>
        <v>119.877208</v>
      </c>
      <c r="AN164">
        <f t="shared" si="79"/>
        <v>126.45008479999998</v>
      </c>
      <c r="AO164">
        <f t="shared" si="79"/>
        <v>114.11706960000001</v>
      </c>
      <c r="AQ164">
        <f t="shared" si="66"/>
        <v>114.11706959999999</v>
      </c>
      <c r="AR164">
        <f t="shared" si="70"/>
        <v>33445.799999999996</v>
      </c>
    </row>
    <row r="165" spans="18:44" x14ac:dyDescent="0.2">
      <c r="R165">
        <f t="shared" si="62"/>
        <v>325</v>
      </c>
      <c r="S165">
        <f t="shared" si="63"/>
        <v>1</v>
      </c>
      <c r="V165">
        <f t="shared" si="67"/>
        <v>325</v>
      </c>
      <c r="W165">
        <f t="shared" si="67"/>
        <v>8</v>
      </c>
      <c r="X165" s="57">
        <f t="shared" ref="X165:AD168" si="80">X33</f>
        <v>302.95900000000006</v>
      </c>
      <c r="Y165" s="57">
        <f t="shared" si="80"/>
        <v>334.37799999999999</v>
      </c>
      <c r="Z165" s="57">
        <f t="shared" si="80"/>
        <v>383.20000000000005</v>
      </c>
      <c r="AA165" s="57">
        <f t="shared" si="80"/>
        <v>409.428</v>
      </c>
      <c r="AB165" s="57">
        <f t="shared" si="80"/>
        <v>410.21499999999997</v>
      </c>
      <c r="AC165" s="57">
        <f t="shared" si="80"/>
        <v>414.42500000000007</v>
      </c>
      <c r="AD165" s="57">
        <f t="shared" si="80"/>
        <v>471.72199999999998</v>
      </c>
      <c r="AE165">
        <f t="shared" ref="AE165:AO165" si="81">AE33</f>
        <v>485.14700000000005</v>
      </c>
      <c r="AF165">
        <f t="shared" si="81"/>
        <v>478.25100000000003</v>
      </c>
      <c r="AG165">
        <f t="shared" si="81"/>
        <v>478.37899999999996</v>
      </c>
      <c r="AH165">
        <f t="shared" si="81"/>
        <v>438.97400000000005</v>
      </c>
      <c r="AI165">
        <f t="shared" si="81"/>
        <v>436.78099999999995</v>
      </c>
      <c r="AJ165">
        <f t="shared" si="81"/>
        <v>398.42</v>
      </c>
      <c r="AK165">
        <f t="shared" si="81"/>
        <v>422.34299999999996</v>
      </c>
      <c r="AL165">
        <f t="shared" si="81"/>
        <v>454.23599999999993</v>
      </c>
      <c r="AM165">
        <f t="shared" si="81"/>
        <v>429.44284999999991</v>
      </c>
      <c r="AN165">
        <f t="shared" si="81"/>
        <v>408.37272640000003</v>
      </c>
      <c r="AO165">
        <f t="shared" si="81"/>
        <v>424.05530199999998</v>
      </c>
      <c r="AQ165">
        <f t="shared" si="66"/>
        <v>427.02851879999997</v>
      </c>
      <c r="AR165">
        <f t="shared" si="70"/>
        <v>125154.9</v>
      </c>
    </row>
    <row r="166" spans="18:44" x14ac:dyDescent="0.2">
      <c r="R166">
        <f t="shared" si="62"/>
        <v>326</v>
      </c>
      <c r="S166">
        <f t="shared" si="63"/>
        <v>1</v>
      </c>
      <c r="V166">
        <f t="shared" si="67"/>
        <v>326</v>
      </c>
      <c r="W166">
        <f t="shared" si="67"/>
        <v>9</v>
      </c>
      <c r="X166" s="57">
        <f t="shared" si="80"/>
        <v>50.732999999999997</v>
      </c>
      <c r="Y166" s="57">
        <f t="shared" si="80"/>
        <v>55.055999999999997</v>
      </c>
      <c r="Z166" s="57">
        <f t="shared" si="80"/>
        <v>61.726999999999997</v>
      </c>
      <c r="AA166" s="57">
        <f t="shared" si="80"/>
        <v>68.227000000000004</v>
      </c>
      <c r="AB166" s="57">
        <f t="shared" si="80"/>
        <v>64.739999999999995</v>
      </c>
      <c r="AC166" s="57">
        <f t="shared" si="80"/>
        <v>64.122</v>
      </c>
      <c r="AD166" s="57">
        <f t="shared" si="80"/>
        <v>67.387</v>
      </c>
      <c r="AE166">
        <f t="shared" ref="AE166:AO166" si="82">AE34</f>
        <v>76.965000000000003</v>
      </c>
      <c r="AF166">
        <f t="shared" si="82"/>
        <v>78.375</v>
      </c>
      <c r="AG166">
        <f t="shared" si="82"/>
        <v>77.924999999999997</v>
      </c>
      <c r="AH166">
        <f t="shared" si="82"/>
        <v>73.906999999999996</v>
      </c>
      <c r="AI166">
        <f t="shared" si="82"/>
        <v>78.180000000000007</v>
      </c>
      <c r="AJ166">
        <f t="shared" si="82"/>
        <v>105.07899999999999</v>
      </c>
      <c r="AK166">
        <f t="shared" si="82"/>
        <v>109.32</v>
      </c>
      <c r="AL166">
        <f t="shared" si="82"/>
        <v>100.827</v>
      </c>
      <c r="AM166">
        <f t="shared" si="82"/>
        <v>102.70972999999999</v>
      </c>
      <c r="AN166">
        <f t="shared" si="82"/>
        <v>106.52741680000001</v>
      </c>
      <c r="AO166">
        <f t="shared" si="82"/>
        <v>112.86896</v>
      </c>
      <c r="AQ166">
        <f t="shared" si="66"/>
        <v>108.93594759999999</v>
      </c>
      <c r="AR166">
        <f t="shared" si="70"/>
        <v>31927.3</v>
      </c>
    </row>
    <row r="167" spans="18:44" x14ac:dyDescent="0.2">
      <c r="R167">
        <f t="shared" si="62"/>
        <v>327</v>
      </c>
      <c r="S167">
        <f t="shared" si="63"/>
        <v>1</v>
      </c>
      <c r="V167">
        <f t="shared" si="67"/>
        <v>327</v>
      </c>
      <c r="W167">
        <f t="shared" si="67"/>
        <v>10</v>
      </c>
      <c r="X167" s="57">
        <f t="shared" si="80"/>
        <v>82.947000000000003</v>
      </c>
      <c r="Y167" s="57">
        <f t="shared" si="80"/>
        <v>85.207999999999998</v>
      </c>
      <c r="Z167" s="57">
        <f t="shared" si="80"/>
        <v>92.849000000000004</v>
      </c>
      <c r="AA167" s="57">
        <f t="shared" si="80"/>
        <v>97.75800000000001</v>
      </c>
      <c r="AB167" s="57">
        <f t="shared" si="80"/>
        <v>98.996000000000009</v>
      </c>
      <c r="AC167" s="57">
        <f t="shared" si="80"/>
        <v>94.850999999999999</v>
      </c>
      <c r="AD167" s="57">
        <f t="shared" si="80"/>
        <v>99.754000000000005</v>
      </c>
      <c r="AE167">
        <f t="shared" ref="AE167:AO167" si="83">AE35</f>
        <v>105.51599999999999</v>
      </c>
      <c r="AF167">
        <f t="shared" si="83"/>
        <v>111.75700000000001</v>
      </c>
      <c r="AG167">
        <f t="shared" si="83"/>
        <v>112.547</v>
      </c>
      <c r="AH167">
        <f t="shared" si="83"/>
        <v>104.08500000000001</v>
      </c>
      <c r="AI167">
        <f t="shared" si="83"/>
        <v>102.73099999999999</v>
      </c>
      <c r="AJ167">
        <f t="shared" si="83"/>
        <v>95.10499999999999</v>
      </c>
      <c r="AK167">
        <f t="shared" si="83"/>
        <v>95.356999999999999</v>
      </c>
      <c r="AL167">
        <f t="shared" si="83"/>
        <v>102.50700000000001</v>
      </c>
      <c r="AM167">
        <f t="shared" si="83"/>
        <v>104.12332160000001</v>
      </c>
      <c r="AN167">
        <f t="shared" si="83"/>
        <v>107.91610079999998</v>
      </c>
      <c r="AO167">
        <f t="shared" si="83"/>
        <v>113.658838</v>
      </c>
      <c r="AQ167">
        <f t="shared" si="66"/>
        <v>113.86799359999999</v>
      </c>
      <c r="AR167">
        <f t="shared" si="70"/>
        <v>33372.799999999996</v>
      </c>
    </row>
    <row r="168" spans="18:44" x14ac:dyDescent="0.2">
      <c r="R168">
        <f t="shared" si="62"/>
        <v>331</v>
      </c>
      <c r="S168">
        <f t="shared" si="63"/>
        <v>1</v>
      </c>
      <c r="V168">
        <f t="shared" si="67"/>
        <v>331</v>
      </c>
      <c r="W168">
        <f t="shared" si="67"/>
        <v>11</v>
      </c>
      <c r="X168" s="57">
        <f t="shared" si="80"/>
        <v>438.10699999999997</v>
      </c>
      <c r="Y168" s="57">
        <f t="shared" si="80"/>
        <v>422.35500000000002</v>
      </c>
      <c r="Z168" s="57">
        <f t="shared" si="80"/>
        <v>451.74899999999997</v>
      </c>
      <c r="AA168" s="57">
        <f t="shared" si="80"/>
        <v>531.92399999999998</v>
      </c>
      <c r="AB168" s="57">
        <f t="shared" si="80"/>
        <v>578.28399999999999</v>
      </c>
      <c r="AC168" s="57">
        <f t="shared" si="80"/>
        <v>490</v>
      </c>
      <c r="AD168" s="57">
        <f t="shared" si="80"/>
        <v>527.28300000000002</v>
      </c>
      <c r="AE168">
        <f t="shared" ref="AE168:AO168" si="84">AE36</f>
        <v>561.72199999999998</v>
      </c>
      <c r="AF168">
        <f t="shared" si="84"/>
        <v>586.50800000000004</v>
      </c>
      <c r="AG168">
        <f t="shared" si="84"/>
        <v>610.57499999999993</v>
      </c>
      <c r="AH168">
        <f t="shared" si="84"/>
        <v>575.89199999999994</v>
      </c>
      <c r="AI168">
        <f t="shared" si="84"/>
        <v>581.00900000000001</v>
      </c>
      <c r="AJ168">
        <f t="shared" si="84"/>
        <v>420.41399999999999</v>
      </c>
      <c r="AK168">
        <f t="shared" si="84"/>
        <v>410.464</v>
      </c>
      <c r="AL168">
        <f t="shared" si="84"/>
        <v>490.024</v>
      </c>
      <c r="AM168">
        <f t="shared" si="84"/>
        <v>454.3153064</v>
      </c>
      <c r="AN168">
        <f t="shared" si="84"/>
        <v>428.01424559999998</v>
      </c>
      <c r="AO168">
        <f t="shared" si="84"/>
        <v>445.84160439999999</v>
      </c>
      <c r="AQ168">
        <f t="shared" si="66"/>
        <v>445.69898280000001</v>
      </c>
      <c r="AR168">
        <f t="shared" si="70"/>
        <v>130626.90000000001</v>
      </c>
    </row>
    <row r="169" spans="18:44" x14ac:dyDescent="0.2">
      <c r="R169">
        <f t="shared" si="62"/>
        <v>332</v>
      </c>
      <c r="S169">
        <f t="shared" si="63"/>
        <v>1.0837667051376241</v>
      </c>
      <c r="V169">
        <f t="shared" si="67"/>
        <v>332</v>
      </c>
      <c r="W169">
        <f t="shared" si="67"/>
        <v>12</v>
      </c>
      <c r="X169" s="57">
        <f>$S169*X37</f>
        <v>87.813281050481123</v>
      </c>
      <c r="Y169" s="57">
        <f t="shared" ref="Y169:AD169" si="85">$S169*Y37</f>
        <v>84.819917410891023</v>
      </c>
      <c r="Z169" s="57">
        <f t="shared" si="85"/>
        <v>89.082371862197292</v>
      </c>
      <c r="AA169" s="57">
        <f t="shared" si="85"/>
        <v>94.709288595271843</v>
      </c>
      <c r="AB169" s="57">
        <f t="shared" si="85"/>
        <v>92.607864954009983</v>
      </c>
      <c r="AC169" s="57">
        <f t="shared" si="85"/>
        <v>90.202986635309585</v>
      </c>
      <c r="AD169" s="57">
        <f t="shared" si="85"/>
        <v>95.162303078019363</v>
      </c>
      <c r="AE169" s="6">
        <f t="shared" ref="AE169:AO169" si="86">AE119+AE142</f>
        <v>97.354763122512793</v>
      </c>
      <c r="AF169" s="6">
        <f t="shared" si="86"/>
        <v>98.577892682164133</v>
      </c>
      <c r="AG169" s="6">
        <f t="shared" si="86"/>
        <v>99.429970233983369</v>
      </c>
      <c r="AH169" s="6">
        <f t="shared" si="86"/>
        <v>97.164777773750373</v>
      </c>
      <c r="AI169" s="6">
        <f t="shared" si="86"/>
        <v>97.075868974255656</v>
      </c>
      <c r="AJ169" s="6">
        <f t="shared" si="86"/>
        <v>97.185781757035997</v>
      </c>
      <c r="AK169" s="6">
        <f t="shared" si="86"/>
        <v>92.779209616438692</v>
      </c>
      <c r="AL169" s="6">
        <f t="shared" si="86"/>
        <v>102.60177872218233</v>
      </c>
      <c r="AM169" s="6">
        <f t="shared" si="86"/>
        <v>100.74784768378909</v>
      </c>
      <c r="AN169" s="6">
        <f t="shared" si="86"/>
        <v>97.789475651864777</v>
      </c>
      <c r="AO169" s="6">
        <f t="shared" si="86"/>
        <v>110.54879999999999</v>
      </c>
      <c r="AQ169">
        <f t="shared" si="66"/>
        <v>110.82210119999999</v>
      </c>
      <c r="AR169">
        <f t="shared" si="70"/>
        <v>32480.1</v>
      </c>
    </row>
    <row r="170" spans="18:44" x14ac:dyDescent="0.2">
      <c r="R170">
        <f t="shared" si="62"/>
        <v>333</v>
      </c>
      <c r="S170">
        <f t="shared" si="63"/>
        <v>0.78136644721261161</v>
      </c>
      <c r="V170">
        <f t="shared" si="67"/>
        <v>333</v>
      </c>
      <c r="W170">
        <f t="shared" si="67"/>
        <v>13</v>
      </c>
      <c r="X170" s="57">
        <f t="shared" ref="X170:AD175" si="87">$S170*X38</f>
        <v>55.043359373892422</v>
      </c>
      <c r="Y170" s="57">
        <f t="shared" si="87"/>
        <v>56.808466178145721</v>
      </c>
      <c r="Z170" s="57">
        <f t="shared" si="87"/>
        <v>60.996590335205305</v>
      </c>
      <c r="AA170" s="57">
        <f t="shared" si="87"/>
        <v>67.068588996494512</v>
      </c>
      <c r="AB170" s="57">
        <f t="shared" si="87"/>
        <v>65.795743053985191</v>
      </c>
      <c r="AC170" s="57">
        <f t="shared" si="87"/>
        <v>69.323612563150121</v>
      </c>
      <c r="AD170" s="57">
        <f t="shared" si="87"/>
        <v>71.441897001543495</v>
      </c>
      <c r="AE170" s="5">
        <f t="shared" ref="AE170:AO170" si="88">AE124-AE142</f>
        <v>73.307800077487244</v>
      </c>
      <c r="AF170" s="5">
        <f t="shared" si="88"/>
        <v>77.046450057835841</v>
      </c>
      <c r="AG170" s="5">
        <f t="shared" si="88"/>
        <v>76.700751426016652</v>
      </c>
      <c r="AH170" s="5">
        <f t="shared" si="88"/>
        <v>75.26872342624965</v>
      </c>
      <c r="AI170" s="5">
        <f t="shared" si="88"/>
        <v>78.474603825744367</v>
      </c>
      <c r="AJ170" s="5">
        <f t="shared" si="88"/>
        <v>73.267239042963993</v>
      </c>
      <c r="AK170" s="5">
        <f t="shared" si="88"/>
        <v>67.16639758356132</v>
      </c>
      <c r="AL170" s="5">
        <f t="shared" si="88"/>
        <v>73.724914077817658</v>
      </c>
      <c r="AM170" s="5">
        <f t="shared" si="88"/>
        <v>72.999381116210927</v>
      </c>
      <c r="AN170" s="5">
        <f t="shared" si="88"/>
        <v>72.125394748135207</v>
      </c>
      <c r="AO170" s="5">
        <f t="shared" si="88"/>
        <v>83.477650800000021</v>
      </c>
      <c r="AQ170">
        <f t="shared" si="66"/>
        <v>83.661216399999986</v>
      </c>
      <c r="AR170">
        <f t="shared" si="70"/>
        <v>24519.699999999997</v>
      </c>
    </row>
    <row r="171" spans="18:44" x14ac:dyDescent="0.2">
      <c r="R171">
        <f t="shared" si="62"/>
        <v>334</v>
      </c>
      <c r="S171">
        <f t="shared" si="63"/>
        <v>0.92022676072400256</v>
      </c>
      <c r="V171">
        <f t="shared" si="67"/>
        <v>334</v>
      </c>
      <c r="W171">
        <f t="shared" si="67"/>
        <v>14</v>
      </c>
      <c r="X171" s="57">
        <f t="shared" si="87"/>
        <v>50.523209844029921</v>
      </c>
      <c r="Y171" s="57">
        <f t="shared" si="87"/>
        <v>50.926269165227026</v>
      </c>
      <c r="Z171" s="57">
        <f t="shared" si="87"/>
        <v>54.340310447513076</v>
      </c>
      <c r="AA171" s="57">
        <f t="shared" si="87"/>
        <v>56.988723064876758</v>
      </c>
      <c r="AB171" s="57">
        <f t="shared" si="87"/>
        <v>53.702593302331344</v>
      </c>
      <c r="AC171" s="57">
        <f t="shared" si="87"/>
        <v>54.806865415200136</v>
      </c>
      <c r="AD171" s="57">
        <f t="shared" si="87"/>
        <v>54.240925957354882</v>
      </c>
      <c r="AE171" s="6">
        <f t="shared" ref="AE171:AO171" si="89">AE113</f>
        <v>56.4844388</v>
      </c>
      <c r="AF171" s="6">
        <f t="shared" si="89"/>
        <v>60.140359700000005</v>
      </c>
      <c r="AG171" s="6">
        <f t="shared" si="89"/>
        <v>64.616247899999991</v>
      </c>
      <c r="AH171" s="6">
        <f t="shared" si="89"/>
        <v>69.041168800000008</v>
      </c>
      <c r="AI171" s="6">
        <f t="shared" si="89"/>
        <v>73.825581599999992</v>
      </c>
      <c r="AJ171" s="6">
        <f t="shared" si="89"/>
        <v>78.8074376</v>
      </c>
      <c r="AK171" s="6">
        <f t="shared" si="89"/>
        <v>82.613475599999987</v>
      </c>
      <c r="AL171" s="6">
        <f t="shared" si="89"/>
        <v>89.650290000000012</v>
      </c>
      <c r="AM171" s="6">
        <f t="shared" si="89"/>
        <v>94.876119200000019</v>
      </c>
      <c r="AN171" s="6">
        <f t="shared" si="89"/>
        <v>99.118258799999992</v>
      </c>
      <c r="AO171" s="6">
        <f t="shared" si="89"/>
        <v>105.55943240000001</v>
      </c>
      <c r="AQ171">
        <f t="shared" si="66"/>
        <v>106.67549759999999</v>
      </c>
      <c r="AR171">
        <f t="shared" si="70"/>
        <v>31264.799999999999</v>
      </c>
    </row>
    <row r="172" spans="18:44" x14ac:dyDescent="0.2">
      <c r="R172">
        <f t="shared" si="62"/>
        <v>335</v>
      </c>
      <c r="S172">
        <f t="shared" si="63"/>
        <v>0.90531490536106218</v>
      </c>
      <c r="V172">
        <f t="shared" si="67"/>
        <v>335</v>
      </c>
      <c r="W172">
        <f t="shared" si="67"/>
        <v>15</v>
      </c>
      <c r="X172" s="57">
        <f t="shared" si="87"/>
        <v>37.789654779581461</v>
      </c>
      <c r="Y172" s="57">
        <f t="shared" si="87"/>
        <v>37.171324699219859</v>
      </c>
      <c r="Z172" s="57">
        <f t="shared" si="87"/>
        <v>39.817560167590237</v>
      </c>
      <c r="AA172" s="57">
        <f t="shared" si="87"/>
        <v>42.907399939587542</v>
      </c>
      <c r="AB172" s="57">
        <f t="shared" si="87"/>
        <v>41.507783095899342</v>
      </c>
      <c r="AC172" s="57">
        <f t="shared" si="87"/>
        <v>38.807228733207289</v>
      </c>
      <c r="AD172" s="57">
        <f t="shared" si="87"/>
        <v>39.108698596692527</v>
      </c>
      <c r="AE172" s="6">
        <f t="shared" ref="AE172:AO172" si="90">AE131</f>
        <v>41.659875999999997</v>
      </c>
      <c r="AF172" s="6">
        <f t="shared" si="90"/>
        <v>43.542511008000005</v>
      </c>
      <c r="AG172" s="6">
        <f t="shared" si="90"/>
        <v>44.847498591999994</v>
      </c>
      <c r="AH172" s="6">
        <f t="shared" si="90"/>
        <v>42.1731336</v>
      </c>
      <c r="AI172" s="6">
        <f t="shared" si="90"/>
        <v>41.738159200000005</v>
      </c>
      <c r="AJ172" s="6">
        <f t="shared" si="90"/>
        <v>42.410508799999995</v>
      </c>
      <c r="AK172" s="6">
        <f t="shared" si="90"/>
        <v>42.506738399999996</v>
      </c>
      <c r="AL172" s="6">
        <f t="shared" si="90"/>
        <v>45.069363199999998</v>
      </c>
      <c r="AM172" s="6">
        <f t="shared" si="90"/>
        <v>43.0567104</v>
      </c>
      <c r="AN172" s="6">
        <f t="shared" si="90"/>
        <v>43.779372000000002</v>
      </c>
      <c r="AO172" s="6">
        <f t="shared" si="90"/>
        <v>45.316819199999998</v>
      </c>
      <c r="AQ172">
        <f t="shared" si="66"/>
        <v>43.329670399999998</v>
      </c>
      <c r="AR172">
        <f t="shared" si="70"/>
        <v>12699.199999999999</v>
      </c>
    </row>
    <row r="173" spans="18:44" x14ac:dyDescent="0.2">
      <c r="R173">
        <f t="shared" si="62"/>
        <v>336</v>
      </c>
      <c r="S173">
        <f t="shared" si="63"/>
        <v>1.163580092614424</v>
      </c>
      <c r="V173">
        <f t="shared" si="67"/>
        <v>336</v>
      </c>
      <c r="W173">
        <f t="shared" si="67"/>
        <v>16</v>
      </c>
      <c r="X173" s="57">
        <f t="shared" si="87"/>
        <v>110.3399730224406</v>
      </c>
      <c r="Y173" s="57">
        <f t="shared" si="87"/>
        <v>115.72153095078231</v>
      </c>
      <c r="Z173" s="57">
        <f t="shared" si="87"/>
        <v>119.49385761103828</v>
      </c>
      <c r="AA173" s="57">
        <f t="shared" si="87"/>
        <v>128.61516195704274</v>
      </c>
      <c r="AB173" s="57">
        <f t="shared" si="87"/>
        <v>113.05111463823221</v>
      </c>
      <c r="AC173" s="57">
        <f t="shared" si="87"/>
        <v>110.23176007382743</v>
      </c>
      <c r="AD173" s="57">
        <f t="shared" si="87"/>
        <v>117.71008932906035</v>
      </c>
      <c r="AE173" s="6">
        <f t="shared" ref="AE173:AO173" si="91">AE133</f>
        <v>123.3755608</v>
      </c>
      <c r="AF173" s="6">
        <f t="shared" si="91"/>
        <v>124.919146252</v>
      </c>
      <c r="AG173" s="6">
        <f t="shared" si="91"/>
        <v>124.76377974799999</v>
      </c>
      <c r="AH173" s="6">
        <f t="shared" si="91"/>
        <v>117.09936519999999</v>
      </c>
      <c r="AI173" s="6">
        <f t="shared" si="91"/>
        <v>117.38936800000002</v>
      </c>
      <c r="AJ173" s="6">
        <f t="shared" si="91"/>
        <v>112.3094704</v>
      </c>
      <c r="AK173" s="6">
        <f t="shared" si="91"/>
        <v>119.7416544</v>
      </c>
      <c r="AL173" s="6">
        <f t="shared" si="91"/>
        <v>139.87194399999998</v>
      </c>
      <c r="AM173" s="6">
        <f t="shared" si="91"/>
        <v>134.85349959999999</v>
      </c>
      <c r="AN173" s="6">
        <f t="shared" si="91"/>
        <v>139.39896600000003</v>
      </c>
      <c r="AO173" s="6">
        <f t="shared" si="91"/>
        <v>150.05157120000001</v>
      </c>
      <c r="AQ173">
        <f t="shared" si="66"/>
        <v>149.9430696</v>
      </c>
      <c r="AR173">
        <f t="shared" si="70"/>
        <v>43945.799999999996</v>
      </c>
    </row>
    <row r="174" spans="18:44" x14ac:dyDescent="0.2">
      <c r="R174">
        <f t="shared" si="62"/>
        <v>337</v>
      </c>
      <c r="S174">
        <f t="shared" si="63"/>
        <v>1.0993744701685668</v>
      </c>
      <c r="V174">
        <f t="shared" si="67"/>
        <v>337</v>
      </c>
      <c r="W174">
        <f t="shared" si="67"/>
        <v>17</v>
      </c>
      <c r="X174" s="57">
        <f t="shared" si="87"/>
        <v>12.716464496439812</v>
      </c>
      <c r="Y174" s="57">
        <f t="shared" si="87"/>
        <v>12.618620168594809</v>
      </c>
      <c r="Z174" s="57">
        <f t="shared" si="87"/>
        <v>13.002301858683643</v>
      </c>
      <c r="AA174" s="57">
        <f t="shared" si="87"/>
        <v>14.265483124907323</v>
      </c>
      <c r="AB174" s="57">
        <f t="shared" si="87"/>
        <v>15.057032743428691</v>
      </c>
      <c r="AC174" s="57">
        <f t="shared" si="87"/>
        <v>14.573307976554522</v>
      </c>
      <c r="AD174" s="57">
        <f t="shared" si="87"/>
        <v>14.88772907502273</v>
      </c>
      <c r="AE174">
        <f t="shared" ref="AE174:AO174" si="92">AE42+AE146</f>
        <v>15.7177568</v>
      </c>
      <c r="AF174">
        <f t="shared" si="92"/>
        <v>15.910832992000001</v>
      </c>
      <c r="AG174">
        <f t="shared" si="92"/>
        <v>15.124063008000002</v>
      </c>
      <c r="AH174">
        <f t="shared" si="92"/>
        <v>14.8191392</v>
      </c>
      <c r="AI174">
        <f t="shared" si="92"/>
        <v>15.282408400000001</v>
      </c>
      <c r="AJ174">
        <f t="shared" si="92"/>
        <v>14.8115156</v>
      </c>
      <c r="AK174">
        <f t="shared" si="92"/>
        <v>15.893727200000001</v>
      </c>
      <c r="AL174">
        <f t="shared" si="92"/>
        <v>17.164043199999998</v>
      </c>
      <c r="AM174">
        <f t="shared" si="92"/>
        <v>16.8351492</v>
      </c>
      <c r="AN174">
        <f t="shared" si="92"/>
        <v>17.583059599999999</v>
      </c>
      <c r="AO174">
        <f t="shared" si="92"/>
        <v>21.681554000000002</v>
      </c>
      <c r="AQ174">
        <f t="shared" si="66"/>
        <v>21.677459599999995</v>
      </c>
      <c r="AR174">
        <f t="shared" si="70"/>
        <v>6353.2999999999993</v>
      </c>
    </row>
    <row r="175" spans="18:44" x14ac:dyDescent="0.2">
      <c r="R175">
        <f t="shared" si="62"/>
        <v>339</v>
      </c>
      <c r="S175">
        <f t="shared" si="63"/>
        <v>1.3480637759454079</v>
      </c>
      <c r="V175">
        <f t="shared" si="67"/>
        <v>339</v>
      </c>
      <c r="W175">
        <f t="shared" si="67"/>
        <v>18</v>
      </c>
      <c r="X175" s="57">
        <f t="shared" si="87"/>
        <v>15.137408140090985</v>
      </c>
      <c r="Y175" s="57">
        <f t="shared" si="87"/>
        <v>17.156807676457206</v>
      </c>
      <c r="Z175" s="57">
        <f t="shared" si="87"/>
        <v>19.222041381205571</v>
      </c>
      <c r="AA175" s="57">
        <f t="shared" si="87"/>
        <v>19.240914274068807</v>
      </c>
      <c r="AB175" s="57">
        <f t="shared" si="87"/>
        <v>18.200209039038953</v>
      </c>
      <c r="AC175" s="57">
        <f t="shared" si="87"/>
        <v>17.561226809240829</v>
      </c>
      <c r="AD175" s="57">
        <f t="shared" si="87"/>
        <v>17.12040995450668</v>
      </c>
      <c r="AE175" s="6">
        <f t="shared" ref="AE175:AO175" si="93">AE114</f>
        <v>18.964561199999999</v>
      </c>
      <c r="AF175" s="6">
        <f t="shared" si="93"/>
        <v>18.673640299999999</v>
      </c>
      <c r="AG175" s="6">
        <f t="shared" si="93"/>
        <v>17.836752100000002</v>
      </c>
      <c r="AH175" s="6">
        <f t="shared" si="93"/>
        <v>17.7538312</v>
      </c>
      <c r="AI175" s="6">
        <f t="shared" si="93"/>
        <v>17.943418399999999</v>
      </c>
      <c r="AJ175" s="6">
        <f t="shared" si="93"/>
        <v>18.400562399999998</v>
      </c>
      <c r="AK175" s="6">
        <f t="shared" si="93"/>
        <v>18.615524399999998</v>
      </c>
      <c r="AL175" s="6">
        <f t="shared" si="93"/>
        <v>19.538709999999998</v>
      </c>
      <c r="AM175" s="6">
        <f t="shared" si="93"/>
        <v>18.941718000000002</v>
      </c>
      <c r="AN175" s="6">
        <f t="shared" si="93"/>
        <v>19.592045200000001</v>
      </c>
      <c r="AO175" s="6">
        <f t="shared" si="93"/>
        <v>24.3555384</v>
      </c>
      <c r="AQ175">
        <f t="shared" si="66"/>
        <v>25.476380399999996</v>
      </c>
      <c r="AR175">
        <f t="shared" si="70"/>
        <v>7466.7</v>
      </c>
    </row>
    <row r="177" spans="19:41" x14ac:dyDescent="0.2">
      <c r="S177">
        <f>SUM(AE164:AE168)+SUM(AE158:AE160)+AE162+AE161</f>
        <v>1800.5062432</v>
      </c>
      <c r="T177" s="52" t="s">
        <v>245</v>
      </c>
      <c r="X177" s="57">
        <f>SUM(X164:X168)+SUM(X158:X160)+X162</f>
        <v>1286.6529999999998</v>
      </c>
      <c r="Y177" s="57">
        <f t="shared" ref="Y177:AD177" si="94">SUM(Y164:Y168)+SUM(Y158:Y160)+Y162</f>
        <v>1324.75</v>
      </c>
      <c r="Z177" s="57">
        <f t="shared" si="94"/>
        <v>1441.84</v>
      </c>
      <c r="AA177" s="57">
        <f t="shared" si="94"/>
        <v>1578.165</v>
      </c>
      <c r="AB177" s="57">
        <f t="shared" si="94"/>
        <v>1632.6040000000003</v>
      </c>
      <c r="AC177" s="57">
        <f t="shared" si="94"/>
        <v>1540.4600000000003</v>
      </c>
      <c r="AD177" s="57">
        <f t="shared" si="94"/>
        <v>1669.9290000000001</v>
      </c>
      <c r="AE177">
        <f>SUM(AE158:AE176)</f>
        <v>2252.6065628000006</v>
      </c>
    </row>
    <row r="178" spans="19:41" x14ac:dyDescent="0.2">
      <c r="T178" s="52" t="s">
        <v>244</v>
      </c>
      <c r="X178" s="57">
        <f>X45</f>
        <v>1286.6529999999998</v>
      </c>
      <c r="Y178" s="57">
        <f t="shared" ref="Y178:AD178" si="95">Y45</f>
        <v>1324.75</v>
      </c>
      <c r="Z178" s="57">
        <f t="shared" si="95"/>
        <v>1441.84</v>
      </c>
      <c r="AA178" s="57">
        <f t="shared" si="95"/>
        <v>1578.165</v>
      </c>
      <c r="AB178" s="57">
        <f t="shared" si="95"/>
        <v>1632.6040000000003</v>
      </c>
      <c r="AC178" s="57">
        <f t="shared" si="95"/>
        <v>1540.4600000000003</v>
      </c>
      <c r="AD178" s="57">
        <f t="shared" si="95"/>
        <v>1669.9290000000001</v>
      </c>
    </row>
    <row r="180" spans="19:41" x14ac:dyDescent="0.2">
      <c r="T180" s="52" t="s">
        <v>246</v>
      </c>
      <c r="X180" s="57">
        <f>SUM(X158:X175)-X177-X163</f>
        <v>404.20749032981468</v>
      </c>
      <c r="Y180" s="57">
        <f t="shared" ref="Y180:AD180" si="96">SUM(Y158:Y175)-Y177-Y163</f>
        <v>413.88896145458637</v>
      </c>
      <c r="Z180" s="57">
        <f t="shared" si="96"/>
        <v>441.0977082064183</v>
      </c>
      <c r="AA180" s="57">
        <f t="shared" si="96"/>
        <v>469.18666192921722</v>
      </c>
      <c r="AB180" s="57">
        <f t="shared" si="96"/>
        <v>449.38083314459215</v>
      </c>
      <c r="AC180" s="57">
        <f t="shared" si="96"/>
        <v>443.67852899360213</v>
      </c>
      <c r="AD180" s="57">
        <f t="shared" si="96"/>
        <v>461.46868586499841</v>
      </c>
    </row>
    <row r="181" spans="19:41" x14ac:dyDescent="0.2">
      <c r="T181" s="52" t="s">
        <v>247</v>
      </c>
      <c r="X181" s="57">
        <f>X46</f>
        <v>401.50600000000037</v>
      </c>
      <c r="Y181" s="57">
        <f t="shared" ref="Y181:AD181" si="97">Y46</f>
        <v>410.71499999999992</v>
      </c>
      <c r="Z181" s="57">
        <f t="shared" si="97"/>
        <v>438.41200000000015</v>
      </c>
      <c r="AA181" s="57">
        <f t="shared" si="97"/>
        <v>466.92300000000046</v>
      </c>
      <c r="AB181" s="57">
        <f t="shared" si="97"/>
        <v>448.98499999999984</v>
      </c>
      <c r="AC181" s="57">
        <f t="shared" si="97"/>
        <v>444.8399999999998</v>
      </c>
      <c r="AD181" s="57">
        <f t="shared" si="97"/>
        <v>461.95199999999971</v>
      </c>
    </row>
    <row r="182" spans="19:41" x14ac:dyDescent="0.2">
      <c r="X182">
        <f>X181/X180</f>
        <v>0.9933165752875831</v>
      </c>
      <c r="Y182">
        <f t="shared" ref="Y182:AD182" si="98">Y181/Y180</f>
        <v>0.99233136964215773</v>
      </c>
      <c r="Z182">
        <f t="shared" si="98"/>
        <v>0.99391130772966674</v>
      </c>
      <c r="AA182">
        <f t="shared" si="98"/>
        <v>0.99517534893274895</v>
      </c>
      <c r="AB182">
        <f t="shared" si="98"/>
        <v>0.99911915881720537</v>
      </c>
      <c r="AC182">
        <f t="shared" si="98"/>
        <v>1.002617821081025</v>
      </c>
      <c r="AD182">
        <f t="shared" si="98"/>
        <v>1.001047338963196</v>
      </c>
    </row>
    <row r="184" spans="19:41" x14ac:dyDescent="0.2">
      <c r="X184" s="57">
        <f>SUM(X158:X175)-X163</f>
        <v>1690.8604903298144</v>
      </c>
      <c r="Y184" s="57">
        <f t="shared" ref="Y184:AD184" si="99">SUM(Y158:Y175)-Y163</f>
        <v>1738.6389614545865</v>
      </c>
      <c r="Z184" s="57">
        <f t="shared" si="99"/>
        <v>1882.9377082064182</v>
      </c>
      <c r="AA184" s="57">
        <f t="shared" si="99"/>
        <v>2047.3516619292172</v>
      </c>
      <c r="AB184" s="57">
        <f t="shared" si="99"/>
        <v>2081.9848331445924</v>
      </c>
      <c r="AC184" s="57">
        <f t="shared" si="99"/>
        <v>1984.1385289936024</v>
      </c>
      <c r="AD184" s="57">
        <f t="shared" si="99"/>
        <v>2131.3976858649985</v>
      </c>
    </row>
    <row r="187" spans="19:41" x14ac:dyDescent="0.2">
      <c r="X187">
        <f>1970</f>
        <v>1970</v>
      </c>
      <c r="Y187">
        <f>X187+1</f>
        <v>1971</v>
      </c>
      <c r="Z187">
        <f t="shared" ref="Z187:AO187" si="100">Y187+1</f>
        <v>1972</v>
      </c>
      <c r="AA187">
        <f t="shared" si="100"/>
        <v>1973</v>
      </c>
      <c r="AB187">
        <f t="shared" si="100"/>
        <v>1974</v>
      </c>
      <c r="AC187">
        <f t="shared" si="100"/>
        <v>1975</v>
      </c>
      <c r="AD187">
        <f t="shared" si="100"/>
        <v>1976</v>
      </c>
      <c r="AE187">
        <f t="shared" si="100"/>
        <v>1977</v>
      </c>
      <c r="AF187">
        <f t="shared" si="100"/>
        <v>1978</v>
      </c>
      <c r="AG187">
        <f t="shared" si="100"/>
        <v>1979</v>
      </c>
      <c r="AH187">
        <f t="shared" si="100"/>
        <v>1980</v>
      </c>
      <c r="AI187">
        <f t="shared" si="100"/>
        <v>1981</v>
      </c>
      <c r="AJ187">
        <f t="shared" si="100"/>
        <v>1982</v>
      </c>
      <c r="AK187">
        <f t="shared" si="100"/>
        <v>1983</v>
      </c>
      <c r="AL187">
        <f t="shared" si="100"/>
        <v>1984</v>
      </c>
      <c r="AM187">
        <f t="shared" si="100"/>
        <v>1985</v>
      </c>
      <c r="AN187">
        <f t="shared" si="100"/>
        <v>1986</v>
      </c>
      <c r="AO187">
        <f t="shared" si="100"/>
        <v>1987</v>
      </c>
    </row>
    <row r="188" spans="19:41" x14ac:dyDescent="0.2">
      <c r="V188" t="s">
        <v>12</v>
      </c>
      <c r="W188">
        <v>1</v>
      </c>
      <c r="X188" s="59">
        <f t="shared" ref="X188:AE190" si="101">X158</f>
        <v>118.012</v>
      </c>
      <c r="Y188" s="59">
        <f t="shared" si="101"/>
        <v>118.377</v>
      </c>
      <c r="Z188" s="59">
        <f t="shared" si="101"/>
        <v>120.59500000000001</v>
      </c>
      <c r="AA188" s="59">
        <f t="shared" si="101"/>
        <v>125.497</v>
      </c>
      <c r="AB188" s="59">
        <f t="shared" si="101"/>
        <v>129.32599999999999</v>
      </c>
      <c r="AC188" s="59">
        <f t="shared" si="101"/>
        <v>134.33099999999999</v>
      </c>
      <c r="AD188" s="59">
        <f t="shared" si="101"/>
        <v>137.11600000000001</v>
      </c>
      <c r="AE188" s="60">
        <f t="shared" si="101"/>
        <v>140.90299999999999</v>
      </c>
      <c r="AF188" s="60">
        <f t="shared" ref="AF188:AO188" si="102">AF158</f>
        <v>142.58099999999999</v>
      </c>
      <c r="AG188" s="60">
        <f t="shared" si="102"/>
        <v>139.40300000000002</v>
      </c>
      <c r="AH188" s="60">
        <f t="shared" si="102"/>
        <v>145.04899999999998</v>
      </c>
      <c r="AI188" s="60">
        <f t="shared" si="102"/>
        <v>146.20400000000001</v>
      </c>
      <c r="AJ188" s="60">
        <f t="shared" si="102"/>
        <v>161.75099999999998</v>
      </c>
      <c r="AK188" s="60">
        <f t="shared" si="102"/>
        <v>154.989</v>
      </c>
      <c r="AL188" s="60">
        <f t="shared" si="102"/>
        <v>159.596</v>
      </c>
      <c r="AM188" s="60">
        <f t="shared" si="102"/>
        <v>159.61404240000002</v>
      </c>
      <c r="AN188" s="60">
        <f t="shared" si="102"/>
        <v>162.34671320000001</v>
      </c>
      <c r="AO188" s="60">
        <f t="shared" si="102"/>
        <v>175.813536</v>
      </c>
    </row>
    <row r="189" spans="19:41" x14ac:dyDescent="0.2">
      <c r="V189" t="s">
        <v>13</v>
      </c>
      <c r="W189">
        <v>2</v>
      </c>
      <c r="X189" s="59">
        <f t="shared" si="101"/>
        <v>84.37299999999999</v>
      </c>
      <c r="Y189" s="59">
        <f t="shared" si="101"/>
        <v>88.457999999999998</v>
      </c>
      <c r="Z189" s="59">
        <f t="shared" si="101"/>
        <v>96.656999999999996</v>
      </c>
      <c r="AA189" s="59">
        <f t="shared" si="101"/>
        <v>100.96899999999999</v>
      </c>
      <c r="AB189" s="59">
        <f t="shared" si="101"/>
        <v>93.606000000000009</v>
      </c>
      <c r="AC189" s="59">
        <f t="shared" si="101"/>
        <v>92.954999999999998</v>
      </c>
      <c r="AD189" s="59">
        <f t="shared" si="101"/>
        <v>97.764999999999986</v>
      </c>
      <c r="AE189" s="60">
        <f t="shared" si="101"/>
        <v>96.554999999999993</v>
      </c>
      <c r="AF189" s="60">
        <f t="shared" ref="AF189:AO189" si="103">AF159</f>
        <v>96.180999999999997</v>
      </c>
      <c r="AG189" s="60">
        <f t="shared" si="103"/>
        <v>94.64800000000001</v>
      </c>
      <c r="AH189" s="60">
        <f t="shared" si="103"/>
        <v>91.668000000000006</v>
      </c>
      <c r="AI189" s="60">
        <f t="shared" si="103"/>
        <v>91.216999999999999</v>
      </c>
      <c r="AJ189" s="60">
        <f t="shared" si="103"/>
        <v>85.969000000000008</v>
      </c>
      <c r="AK189" s="60">
        <f t="shared" si="103"/>
        <v>93.38000000000001</v>
      </c>
      <c r="AL189" s="60">
        <f t="shared" si="103"/>
        <v>95.377999999999986</v>
      </c>
      <c r="AM189" s="60">
        <f t="shared" si="103"/>
        <v>91.731961199999986</v>
      </c>
      <c r="AN189" s="60">
        <f t="shared" si="103"/>
        <v>94.829033600000017</v>
      </c>
      <c r="AO189" s="60">
        <f t="shared" si="103"/>
        <v>106.82596680000002</v>
      </c>
    </row>
    <row r="190" spans="19:41" x14ac:dyDescent="0.2">
      <c r="V190" t="s">
        <v>14</v>
      </c>
      <c r="W190">
        <v>3</v>
      </c>
      <c r="X190" s="59">
        <f t="shared" si="101"/>
        <v>21.666</v>
      </c>
      <c r="Y190" s="59">
        <f t="shared" si="101"/>
        <v>21.315000000000001</v>
      </c>
      <c r="Z190" s="59">
        <f t="shared" si="101"/>
        <v>24.856000000000002</v>
      </c>
      <c r="AA190" s="59">
        <f t="shared" si="101"/>
        <v>25.651</v>
      </c>
      <c r="AB190" s="59">
        <f t="shared" si="101"/>
        <v>25.044000000000004</v>
      </c>
      <c r="AC190" s="59">
        <f t="shared" si="101"/>
        <v>26.220000000000002</v>
      </c>
      <c r="AD190" s="59">
        <f t="shared" si="101"/>
        <v>26.064999999999998</v>
      </c>
      <c r="AE190" s="60">
        <f t="shared" si="101"/>
        <v>25.074000000000002</v>
      </c>
      <c r="AF190" s="60">
        <f t="shared" ref="AF190:AO190" si="104">AF160</f>
        <v>23.367999999999999</v>
      </c>
      <c r="AG190" s="60">
        <f t="shared" si="104"/>
        <v>20.452999999999999</v>
      </c>
      <c r="AH190" s="60">
        <f t="shared" si="104"/>
        <v>21.411000000000001</v>
      </c>
      <c r="AI190" s="60">
        <f t="shared" si="104"/>
        <v>21.231000000000002</v>
      </c>
      <c r="AJ190" s="60">
        <f t="shared" si="104"/>
        <v>21.222000000000001</v>
      </c>
      <c r="AK190" s="60">
        <f t="shared" si="104"/>
        <v>21.192</v>
      </c>
      <c r="AL190" s="60">
        <f t="shared" si="104"/>
        <v>23.468999999999998</v>
      </c>
      <c r="AM190" s="60">
        <f t="shared" si="104"/>
        <v>19.829520399999996</v>
      </c>
      <c r="AN190" s="60">
        <f t="shared" si="104"/>
        <v>20.001826399999999</v>
      </c>
      <c r="AO190" s="60">
        <f t="shared" si="104"/>
        <v>20.253290799999998</v>
      </c>
    </row>
    <row r="191" spans="19:41" x14ac:dyDescent="0.2">
      <c r="V191">
        <v>321</v>
      </c>
      <c r="W191">
        <v>4</v>
      </c>
      <c r="X191" s="59">
        <f t="shared" ref="X191:AD191" si="105">X161*X$182</f>
        <v>34.611261439020076</v>
      </c>
      <c r="Y191" s="59">
        <f t="shared" si="105"/>
        <v>38.369509750562095</v>
      </c>
      <c r="Z191" s="59">
        <f t="shared" si="105"/>
        <v>44.867814689432613</v>
      </c>
      <c r="AA191" s="59">
        <f t="shared" si="105"/>
        <v>45.172105748370576</v>
      </c>
      <c r="AB191" s="59">
        <f t="shared" si="105"/>
        <v>49.414927240793936</v>
      </c>
      <c r="AC191" s="59">
        <f t="shared" si="105"/>
        <v>48.297645262090178</v>
      </c>
      <c r="AD191" s="59">
        <f t="shared" si="105"/>
        <v>51.850881504568562</v>
      </c>
      <c r="AE191" s="60">
        <f t="shared" ref="AE191:AE205" si="106">AE161</f>
        <v>53.7012432</v>
      </c>
      <c r="AF191" s="60">
        <f t="shared" ref="AF191:AO191" si="107">AF161</f>
        <v>55.479167007999997</v>
      </c>
      <c r="AG191" s="60">
        <f t="shared" si="107"/>
        <v>53.451936991999993</v>
      </c>
      <c r="AH191" s="60">
        <f t="shared" si="107"/>
        <v>48.708860800000004</v>
      </c>
      <c r="AI191" s="60">
        <f t="shared" si="107"/>
        <v>48.423591599999995</v>
      </c>
      <c r="AJ191" s="60">
        <f t="shared" si="107"/>
        <v>48.709484400000001</v>
      </c>
      <c r="AK191" s="60">
        <f t="shared" si="107"/>
        <v>51.372272799999998</v>
      </c>
      <c r="AL191" s="60">
        <f t="shared" si="107"/>
        <v>55.440956800000002</v>
      </c>
      <c r="AM191" s="60">
        <f t="shared" si="107"/>
        <v>55.638119199999998</v>
      </c>
      <c r="AN191" s="60">
        <f t="shared" si="107"/>
        <v>58.975737600000009</v>
      </c>
      <c r="AO191" s="60">
        <f t="shared" si="107"/>
        <v>68.653875600000006</v>
      </c>
    </row>
    <row r="192" spans="19:41" x14ac:dyDescent="0.2">
      <c r="V192">
        <v>322</v>
      </c>
      <c r="W192">
        <v>5</v>
      </c>
      <c r="X192" s="61">
        <f t="shared" ref="X192:AD192" si="108">X162</f>
        <v>112.87</v>
      </c>
      <c r="Y192" s="61">
        <f t="shared" si="108"/>
        <v>119.11399999999999</v>
      </c>
      <c r="Z192" s="61">
        <f t="shared" si="108"/>
        <v>125.52799999999999</v>
      </c>
      <c r="AA192" s="61">
        <f t="shared" si="108"/>
        <v>129.98500000000001</v>
      </c>
      <c r="AB192" s="61">
        <f t="shared" si="108"/>
        <v>139.44900000000001</v>
      </c>
      <c r="AC192" s="61">
        <f t="shared" si="108"/>
        <v>133.482</v>
      </c>
      <c r="AD192" s="61">
        <f t="shared" si="108"/>
        <v>148.279</v>
      </c>
      <c r="AE192" s="60">
        <f t="shared" si="106"/>
        <v>152.04</v>
      </c>
      <c r="AF192" s="60">
        <f t="shared" ref="AF192:AO192" si="109">AF162</f>
        <v>155.625</v>
      </c>
      <c r="AG192" s="60">
        <f t="shared" si="109"/>
        <v>157.50199999999998</v>
      </c>
      <c r="AH192" s="60">
        <f t="shared" si="109"/>
        <v>169.52399999999997</v>
      </c>
      <c r="AI192" s="60">
        <f t="shared" si="109"/>
        <v>178.10300000000001</v>
      </c>
      <c r="AJ192" s="60">
        <f t="shared" si="109"/>
        <v>172.44199999999998</v>
      </c>
      <c r="AK192" s="60">
        <f t="shared" si="109"/>
        <v>176.792</v>
      </c>
      <c r="AL192" s="60">
        <f t="shared" si="109"/>
        <v>182.90299999999999</v>
      </c>
      <c r="AM192" s="60">
        <f t="shared" si="109"/>
        <v>178.95667040000001</v>
      </c>
      <c r="AN192" s="60">
        <f t="shared" si="109"/>
        <v>198.8902568</v>
      </c>
      <c r="AO192" s="60">
        <f t="shared" si="109"/>
        <v>202.15315239999998</v>
      </c>
    </row>
    <row r="193" spans="20:41" x14ac:dyDescent="0.2">
      <c r="V193">
        <v>323</v>
      </c>
      <c r="W193">
        <v>6</v>
      </c>
      <c r="X193" s="59">
        <f>X163</f>
        <v>18.878466799999998</v>
      </c>
      <c r="Y193" s="59">
        <f t="shared" ref="Y193:AD193" si="110">Y163</f>
        <v>18.1143736</v>
      </c>
      <c r="Z193" s="59">
        <f t="shared" si="110"/>
        <v>18.752400000000002</v>
      </c>
      <c r="AA193" s="59">
        <f t="shared" si="110"/>
        <v>20.704279999999997</v>
      </c>
      <c r="AB193" s="59">
        <f t="shared" si="110"/>
        <v>19.63776</v>
      </c>
      <c r="AC193" s="59">
        <f t="shared" si="110"/>
        <v>22.372680000000003</v>
      </c>
      <c r="AD193" s="59">
        <f t="shared" si="110"/>
        <v>23.487200000000001</v>
      </c>
      <c r="AE193" s="60">
        <f t="shared" si="106"/>
        <v>25.235562800000004</v>
      </c>
      <c r="AF193" s="60">
        <f t="shared" ref="AF193:AO193" si="111">AF163</f>
        <v>24.403024796493412</v>
      </c>
      <c r="AG193" s="60">
        <f t="shared" si="111"/>
        <v>22.380269823276993</v>
      </c>
      <c r="AH193" s="60">
        <f t="shared" si="111"/>
        <v>22.620652800000002</v>
      </c>
      <c r="AI193" s="60">
        <f t="shared" si="111"/>
        <v>24.406612000000003</v>
      </c>
      <c r="AJ193" s="60">
        <f t="shared" si="111"/>
        <v>25.027505199999997</v>
      </c>
      <c r="AK193" s="60">
        <f t="shared" si="111"/>
        <v>25.410826</v>
      </c>
      <c r="AL193" s="60">
        <f t="shared" si="111"/>
        <v>30.7996832</v>
      </c>
      <c r="AM193" s="60">
        <f t="shared" si="111"/>
        <v>29.8429444</v>
      </c>
      <c r="AN193" s="60">
        <f t="shared" si="111"/>
        <v>32.040726399999997</v>
      </c>
      <c r="AO193" s="60">
        <f t="shared" si="111"/>
        <v>37.0512236</v>
      </c>
    </row>
    <row r="194" spans="20:41" x14ac:dyDescent="0.2">
      <c r="V194">
        <v>324</v>
      </c>
      <c r="W194">
        <v>7</v>
      </c>
      <c r="X194" s="59">
        <f t="shared" ref="X194:AD198" si="112">X164</f>
        <v>74.986000000000004</v>
      </c>
      <c r="Y194" s="59">
        <f t="shared" si="112"/>
        <v>80.489000000000004</v>
      </c>
      <c r="Z194" s="59">
        <f t="shared" si="112"/>
        <v>84.679000000000002</v>
      </c>
      <c r="AA194" s="59">
        <f t="shared" si="112"/>
        <v>88.725999999999999</v>
      </c>
      <c r="AB194" s="59">
        <f t="shared" si="112"/>
        <v>92.944000000000003</v>
      </c>
      <c r="AC194" s="59">
        <f t="shared" si="112"/>
        <v>90.073999999999998</v>
      </c>
      <c r="AD194" s="59">
        <f t="shared" si="112"/>
        <v>94.558000000000007</v>
      </c>
      <c r="AE194" s="60">
        <f t="shared" si="106"/>
        <v>102.883</v>
      </c>
      <c r="AF194" s="60">
        <f t="shared" ref="AF194:AO194" si="113">AF164</f>
        <v>103.254</v>
      </c>
      <c r="AG194" s="60">
        <f t="shared" si="113"/>
        <v>107.718</v>
      </c>
      <c r="AH194" s="60">
        <f t="shared" si="113"/>
        <v>109.90799999999999</v>
      </c>
      <c r="AI194" s="60">
        <f t="shared" si="113"/>
        <v>111.048</v>
      </c>
      <c r="AJ194" s="60">
        <f t="shared" si="113"/>
        <v>116.64</v>
      </c>
      <c r="AK194" s="60">
        <f t="shared" si="113"/>
        <v>114.111</v>
      </c>
      <c r="AL194" s="60">
        <f t="shared" si="113"/>
        <v>118.72799999999999</v>
      </c>
      <c r="AM194" s="60">
        <f t="shared" si="113"/>
        <v>119.877208</v>
      </c>
      <c r="AN194" s="60">
        <f t="shared" si="113"/>
        <v>126.45008479999998</v>
      </c>
      <c r="AO194" s="60">
        <f t="shared" si="113"/>
        <v>114.11706960000001</v>
      </c>
    </row>
    <row r="195" spans="20:41" x14ac:dyDescent="0.2">
      <c r="V195">
        <v>325</v>
      </c>
      <c r="W195">
        <v>8</v>
      </c>
      <c r="X195" s="59">
        <f t="shared" si="112"/>
        <v>302.95900000000006</v>
      </c>
      <c r="Y195" s="59">
        <f t="shared" si="112"/>
        <v>334.37799999999999</v>
      </c>
      <c r="Z195" s="59">
        <f t="shared" si="112"/>
        <v>383.20000000000005</v>
      </c>
      <c r="AA195" s="59">
        <f t="shared" si="112"/>
        <v>409.428</v>
      </c>
      <c r="AB195" s="59">
        <f t="shared" si="112"/>
        <v>410.21499999999997</v>
      </c>
      <c r="AC195" s="59">
        <f t="shared" si="112"/>
        <v>414.42500000000007</v>
      </c>
      <c r="AD195" s="59">
        <f t="shared" si="112"/>
        <v>471.72199999999998</v>
      </c>
      <c r="AE195" s="60">
        <f t="shared" si="106"/>
        <v>485.14700000000005</v>
      </c>
      <c r="AF195" s="60">
        <f t="shared" ref="AF195:AO195" si="114">AF165</f>
        <v>478.25100000000003</v>
      </c>
      <c r="AG195" s="60">
        <f t="shared" si="114"/>
        <v>478.37899999999996</v>
      </c>
      <c r="AH195" s="60">
        <f t="shared" si="114"/>
        <v>438.97400000000005</v>
      </c>
      <c r="AI195" s="60">
        <f t="shared" si="114"/>
        <v>436.78099999999995</v>
      </c>
      <c r="AJ195" s="60">
        <f t="shared" si="114"/>
        <v>398.42</v>
      </c>
      <c r="AK195" s="60">
        <f t="shared" si="114"/>
        <v>422.34299999999996</v>
      </c>
      <c r="AL195" s="60">
        <f t="shared" si="114"/>
        <v>454.23599999999993</v>
      </c>
      <c r="AM195" s="60">
        <f t="shared" si="114"/>
        <v>429.44284999999991</v>
      </c>
      <c r="AN195" s="60">
        <f t="shared" si="114"/>
        <v>408.37272640000003</v>
      </c>
      <c r="AO195" s="60">
        <f t="shared" si="114"/>
        <v>424.05530199999998</v>
      </c>
    </row>
    <row r="196" spans="20:41" x14ac:dyDescent="0.2">
      <c r="V196">
        <v>326</v>
      </c>
      <c r="W196">
        <v>9</v>
      </c>
      <c r="X196" s="59">
        <f t="shared" si="112"/>
        <v>50.732999999999997</v>
      </c>
      <c r="Y196" s="59">
        <f t="shared" si="112"/>
        <v>55.055999999999997</v>
      </c>
      <c r="Z196" s="59">
        <f t="shared" si="112"/>
        <v>61.726999999999997</v>
      </c>
      <c r="AA196" s="59">
        <f t="shared" si="112"/>
        <v>68.227000000000004</v>
      </c>
      <c r="AB196" s="59">
        <f t="shared" si="112"/>
        <v>64.739999999999995</v>
      </c>
      <c r="AC196" s="59">
        <f t="shared" si="112"/>
        <v>64.122</v>
      </c>
      <c r="AD196" s="59">
        <f t="shared" si="112"/>
        <v>67.387</v>
      </c>
      <c r="AE196" s="60">
        <f t="shared" si="106"/>
        <v>76.965000000000003</v>
      </c>
      <c r="AF196" s="60">
        <f t="shared" ref="AF196:AO196" si="115">AF166</f>
        <v>78.375</v>
      </c>
      <c r="AG196" s="60">
        <f t="shared" si="115"/>
        <v>77.924999999999997</v>
      </c>
      <c r="AH196" s="60">
        <f t="shared" si="115"/>
        <v>73.906999999999996</v>
      </c>
      <c r="AI196" s="60">
        <f t="shared" si="115"/>
        <v>78.180000000000007</v>
      </c>
      <c r="AJ196" s="60">
        <f t="shared" si="115"/>
        <v>105.07899999999999</v>
      </c>
      <c r="AK196" s="60">
        <f t="shared" si="115"/>
        <v>109.32</v>
      </c>
      <c r="AL196" s="60">
        <f t="shared" si="115"/>
        <v>100.827</v>
      </c>
      <c r="AM196" s="60">
        <f t="shared" si="115"/>
        <v>102.70972999999999</v>
      </c>
      <c r="AN196" s="60">
        <f t="shared" si="115"/>
        <v>106.52741680000001</v>
      </c>
      <c r="AO196" s="60">
        <f t="shared" si="115"/>
        <v>112.86896</v>
      </c>
    </row>
    <row r="197" spans="20:41" x14ac:dyDescent="0.2">
      <c r="V197">
        <v>327</v>
      </c>
      <c r="W197">
        <v>10</v>
      </c>
      <c r="X197" s="59">
        <f t="shared" si="112"/>
        <v>82.947000000000003</v>
      </c>
      <c r="Y197" s="59">
        <f t="shared" si="112"/>
        <v>85.207999999999998</v>
      </c>
      <c r="Z197" s="59">
        <f t="shared" si="112"/>
        <v>92.849000000000004</v>
      </c>
      <c r="AA197" s="59">
        <f t="shared" si="112"/>
        <v>97.75800000000001</v>
      </c>
      <c r="AB197" s="59">
        <f t="shared" si="112"/>
        <v>98.996000000000009</v>
      </c>
      <c r="AC197" s="59">
        <f t="shared" si="112"/>
        <v>94.850999999999999</v>
      </c>
      <c r="AD197" s="59">
        <f t="shared" si="112"/>
        <v>99.754000000000005</v>
      </c>
      <c r="AE197" s="60">
        <f t="shared" si="106"/>
        <v>105.51599999999999</v>
      </c>
      <c r="AF197" s="60">
        <f t="shared" ref="AF197:AO197" si="116">AF167</f>
        <v>111.75700000000001</v>
      </c>
      <c r="AG197" s="60">
        <f t="shared" si="116"/>
        <v>112.547</v>
      </c>
      <c r="AH197" s="60">
        <f t="shared" si="116"/>
        <v>104.08500000000001</v>
      </c>
      <c r="AI197" s="60">
        <f t="shared" si="116"/>
        <v>102.73099999999999</v>
      </c>
      <c r="AJ197" s="60">
        <f t="shared" si="116"/>
        <v>95.10499999999999</v>
      </c>
      <c r="AK197" s="60">
        <f t="shared" si="116"/>
        <v>95.356999999999999</v>
      </c>
      <c r="AL197" s="60">
        <f t="shared" si="116"/>
        <v>102.50700000000001</v>
      </c>
      <c r="AM197" s="60">
        <f t="shared" si="116"/>
        <v>104.12332160000001</v>
      </c>
      <c r="AN197" s="60">
        <f t="shared" si="116"/>
        <v>107.91610079999998</v>
      </c>
      <c r="AO197" s="60">
        <f t="shared" si="116"/>
        <v>113.658838</v>
      </c>
    </row>
    <row r="198" spans="20:41" x14ac:dyDescent="0.2">
      <c r="V198">
        <v>331</v>
      </c>
      <c r="W198">
        <v>11</v>
      </c>
      <c r="X198" s="59">
        <f t="shared" si="112"/>
        <v>438.10699999999997</v>
      </c>
      <c r="Y198" s="59">
        <f t="shared" si="112"/>
        <v>422.35500000000002</v>
      </c>
      <c r="Z198" s="59">
        <f t="shared" si="112"/>
        <v>451.74899999999997</v>
      </c>
      <c r="AA198" s="59">
        <f t="shared" si="112"/>
        <v>531.92399999999998</v>
      </c>
      <c r="AB198" s="59">
        <f t="shared" si="112"/>
        <v>578.28399999999999</v>
      </c>
      <c r="AC198" s="59">
        <f t="shared" si="112"/>
        <v>490</v>
      </c>
      <c r="AD198" s="59">
        <f t="shared" si="112"/>
        <v>527.28300000000002</v>
      </c>
      <c r="AE198" s="60">
        <f t="shared" si="106"/>
        <v>561.72199999999998</v>
      </c>
      <c r="AF198" s="60">
        <f t="shared" ref="AF198:AO198" si="117">AF168</f>
        <v>586.50800000000004</v>
      </c>
      <c r="AG198" s="60">
        <f t="shared" si="117"/>
        <v>610.57499999999993</v>
      </c>
      <c r="AH198" s="60">
        <f t="shared" si="117"/>
        <v>575.89199999999994</v>
      </c>
      <c r="AI198" s="60">
        <f t="shared" si="117"/>
        <v>581.00900000000001</v>
      </c>
      <c r="AJ198" s="60">
        <f t="shared" si="117"/>
        <v>420.41399999999999</v>
      </c>
      <c r="AK198" s="60">
        <f t="shared" si="117"/>
        <v>410.464</v>
      </c>
      <c r="AL198" s="60">
        <f t="shared" si="117"/>
        <v>490.024</v>
      </c>
      <c r="AM198" s="60">
        <f t="shared" si="117"/>
        <v>454.3153064</v>
      </c>
      <c r="AN198" s="60">
        <f t="shared" si="117"/>
        <v>428.01424559999998</v>
      </c>
      <c r="AO198" s="60">
        <f t="shared" si="117"/>
        <v>445.84160439999999</v>
      </c>
    </row>
    <row r="199" spans="20:41" x14ac:dyDescent="0.2">
      <c r="V199">
        <v>332</v>
      </c>
      <c r="W199">
        <v>12</v>
      </c>
      <c r="X199" s="59">
        <f t="shared" ref="X199:AD205" si="118">X169*X$182</f>
        <v>87.226387597829927</v>
      </c>
      <c r="Y199" s="59">
        <f t="shared" si="118"/>
        <v>84.169464817284194</v>
      </c>
      <c r="Z199" s="59">
        <f t="shared" si="118"/>
        <v>88.539976713216973</v>
      </c>
      <c r="AA199" s="59">
        <f t="shared" si="118"/>
        <v>94.252349324972073</v>
      </c>
      <c r="AB199" s="59">
        <f t="shared" si="118"/>
        <v>92.526292132707809</v>
      </c>
      <c r="AC199" s="59">
        <f t="shared" si="118"/>
        <v>90.439121915294919</v>
      </c>
      <c r="AD199" s="59">
        <f t="shared" si="118"/>
        <v>95.261970265860441</v>
      </c>
      <c r="AE199" s="60">
        <f t="shared" si="106"/>
        <v>97.354763122512793</v>
      </c>
      <c r="AF199" s="60">
        <f t="shared" ref="AF199:AO199" si="119">AF169</f>
        <v>98.577892682164133</v>
      </c>
      <c r="AG199" s="60">
        <f t="shared" si="119"/>
        <v>99.429970233983369</v>
      </c>
      <c r="AH199" s="60">
        <f t="shared" si="119"/>
        <v>97.164777773750373</v>
      </c>
      <c r="AI199" s="60">
        <f t="shared" si="119"/>
        <v>97.075868974255656</v>
      </c>
      <c r="AJ199" s="60">
        <f t="shared" si="119"/>
        <v>97.185781757035997</v>
      </c>
      <c r="AK199" s="60">
        <f t="shared" si="119"/>
        <v>92.779209616438692</v>
      </c>
      <c r="AL199" s="60">
        <f t="shared" si="119"/>
        <v>102.60177872218233</v>
      </c>
      <c r="AM199" s="60">
        <f t="shared" si="119"/>
        <v>100.74784768378909</v>
      </c>
      <c r="AN199" s="60">
        <f t="shared" si="119"/>
        <v>97.789475651864777</v>
      </c>
      <c r="AO199" s="60">
        <f t="shared" si="119"/>
        <v>110.54879999999999</v>
      </c>
    </row>
    <row r="200" spans="20:41" x14ac:dyDescent="0.2">
      <c r="V200">
        <v>333</v>
      </c>
      <c r="W200">
        <v>13</v>
      </c>
      <c r="X200" s="59">
        <f t="shared" si="118"/>
        <v>54.675481225598503</v>
      </c>
      <c r="Y200" s="59">
        <f t="shared" si="118"/>
        <v>56.372823049829535</v>
      </c>
      <c r="Z200" s="59">
        <f t="shared" si="118"/>
        <v>60.625200867114657</v>
      </c>
      <c r="AA200" s="59">
        <f t="shared" si="118"/>
        <v>66.745006457013559</v>
      </c>
      <c r="AB200" s="59">
        <f t="shared" si="118"/>
        <v>65.737787453850672</v>
      </c>
      <c r="AC200" s="59">
        <f t="shared" si="118"/>
        <v>69.505089377530751</v>
      </c>
      <c r="AD200" s="59">
        <f t="shared" si="118"/>
        <v>71.516720883877852</v>
      </c>
      <c r="AE200" s="60">
        <f t="shared" si="106"/>
        <v>73.307800077487244</v>
      </c>
      <c r="AF200" s="60">
        <f t="shared" ref="AF200:AO200" si="120">AF170</f>
        <v>77.046450057835841</v>
      </c>
      <c r="AG200" s="60">
        <f t="shared" si="120"/>
        <v>76.700751426016652</v>
      </c>
      <c r="AH200" s="60">
        <f t="shared" si="120"/>
        <v>75.26872342624965</v>
      </c>
      <c r="AI200" s="60">
        <f t="shared" si="120"/>
        <v>78.474603825744367</v>
      </c>
      <c r="AJ200" s="60">
        <f t="shared" si="120"/>
        <v>73.267239042963993</v>
      </c>
      <c r="AK200" s="60">
        <f t="shared" si="120"/>
        <v>67.16639758356132</v>
      </c>
      <c r="AL200" s="60">
        <f t="shared" si="120"/>
        <v>73.724914077817658</v>
      </c>
      <c r="AM200" s="60">
        <f t="shared" si="120"/>
        <v>72.999381116210927</v>
      </c>
      <c r="AN200" s="60">
        <f t="shared" si="120"/>
        <v>72.125394748135207</v>
      </c>
      <c r="AO200" s="60">
        <f t="shared" si="120"/>
        <v>83.477650800000021</v>
      </c>
    </row>
    <row r="201" spans="20:41" x14ac:dyDescent="0.2">
      <c r="V201">
        <v>334</v>
      </c>
      <c r="W201">
        <v>14</v>
      </c>
      <c r="X201" s="59">
        <f t="shared" si="118"/>
        <v>50.18554177480771</v>
      </c>
      <c r="Y201" s="59">
        <f t="shared" si="118"/>
        <v>50.535734431494923</v>
      </c>
      <c r="Z201" s="59">
        <f t="shared" si="118"/>
        <v>54.009449019323796</v>
      </c>
      <c r="AA201" s="59">
        <f t="shared" si="118"/>
        <v>56.71377236132053</v>
      </c>
      <c r="AB201" s="59">
        <f t="shared" si="118"/>
        <v>53.655289846527779</v>
      </c>
      <c r="AC201" s="59">
        <f t="shared" si="118"/>
        <v>54.950339982868947</v>
      </c>
      <c r="AD201" s="59">
        <f t="shared" si="118"/>
        <v>54.297734592509848</v>
      </c>
      <c r="AE201" s="60">
        <f t="shared" si="106"/>
        <v>56.4844388</v>
      </c>
      <c r="AF201" s="60">
        <f t="shared" ref="AF201:AO201" si="121">AF171</f>
        <v>60.140359700000005</v>
      </c>
      <c r="AG201" s="60">
        <f t="shared" si="121"/>
        <v>64.616247899999991</v>
      </c>
      <c r="AH201" s="60">
        <f t="shared" si="121"/>
        <v>69.041168800000008</v>
      </c>
      <c r="AI201" s="60">
        <f t="shared" si="121"/>
        <v>73.825581599999992</v>
      </c>
      <c r="AJ201" s="60">
        <f t="shared" si="121"/>
        <v>78.8074376</v>
      </c>
      <c r="AK201" s="60">
        <f t="shared" si="121"/>
        <v>82.613475599999987</v>
      </c>
      <c r="AL201" s="60">
        <f t="shared" si="121"/>
        <v>89.650290000000012</v>
      </c>
      <c r="AM201" s="60">
        <f t="shared" si="121"/>
        <v>94.876119200000019</v>
      </c>
      <c r="AN201" s="60">
        <f t="shared" si="121"/>
        <v>99.118258799999992</v>
      </c>
      <c r="AO201" s="60">
        <f t="shared" si="121"/>
        <v>105.55943240000001</v>
      </c>
    </row>
    <row r="202" spans="20:41" x14ac:dyDescent="0.2">
      <c r="V202">
        <v>335</v>
      </c>
      <c r="W202">
        <v>15</v>
      </c>
      <c r="X202" s="59">
        <f t="shared" si="118"/>
        <v>37.537090466953906</v>
      </c>
      <c r="Y202" s="59">
        <f t="shared" si="118"/>
        <v>36.886271550190209</v>
      </c>
      <c r="Z202" s="59">
        <f t="shared" si="118"/>
        <v>39.575123296774301</v>
      </c>
      <c r="AA202" s="59">
        <f t="shared" si="118"/>
        <v>42.700386706676042</v>
      </c>
      <c r="AB202" s="59">
        <f t="shared" si="118"/>
        <v>41.471221331141969</v>
      </c>
      <c r="AC202" s="59">
        <f t="shared" si="118"/>
        <v>38.908819114681236</v>
      </c>
      <c r="AD202" s="59">
        <f t="shared" si="118"/>
        <v>39.149658660532729</v>
      </c>
      <c r="AE202" s="60">
        <f t="shared" si="106"/>
        <v>41.659875999999997</v>
      </c>
      <c r="AF202" s="60">
        <f t="shared" ref="AF202:AO202" si="122">AF172</f>
        <v>43.542511008000005</v>
      </c>
      <c r="AG202" s="60">
        <f t="shared" si="122"/>
        <v>44.847498591999994</v>
      </c>
      <c r="AH202" s="60">
        <f t="shared" si="122"/>
        <v>42.1731336</v>
      </c>
      <c r="AI202" s="60">
        <f t="shared" si="122"/>
        <v>41.738159200000005</v>
      </c>
      <c r="AJ202" s="60">
        <f t="shared" si="122"/>
        <v>42.410508799999995</v>
      </c>
      <c r="AK202" s="60">
        <f t="shared" si="122"/>
        <v>42.506738399999996</v>
      </c>
      <c r="AL202" s="60">
        <f t="shared" si="122"/>
        <v>45.069363199999998</v>
      </c>
      <c r="AM202" s="60">
        <f t="shared" si="122"/>
        <v>43.0567104</v>
      </c>
      <c r="AN202" s="60">
        <f t="shared" si="122"/>
        <v>43.779372000000002</v>
      </c>
      <c r="AO202" s="60">
        <f t="shared" si="122"/>
        <v>45.316819199999998</v>
      </c>
    </row>
    <row r="203" spans="20:41" x14ac:dyDescent="0.2">
      <c r="V203">
        <v>336</v>
      </c>
      <c r="W203">
        <v>16</v>
      </c>
      <c r="X203" s="59">
        <f t="shared" si="118"/>
        <v>109.60252411997502</v>
      </c>
      <c r="Y203" s="59">
        <f t="shared" si="118"/>
        <v>114.83410530547715</v>
      </c>
      <c r="Z203" s="59">
        <f t="shared" si="118"/>
        <v>118.76629628384964</v>
      </c>
      <c r="AA203" s="59">
        <f t="shared" si="118"/>
        <v>127.99463867864203</v>
      </c>
      <c r="AB203" s="59">
        <f t="shared" si="118"/>
        <v>112.95153456069801</v>
      </c>
      <c r="AC203" s="59">
        <f t="shared" si="118"/>
        <v>110.5203270991472</v>
      </c>
      <c r="AD203" s="59">
        <f t="shared" si="118"/>
        <v>117.83337169197596</v>
      </c>
      <c r="AE203" s="60">
        <f t="shared" si="106"/>
        <v>123.3755608</v>
      </c>
      <c r="AF203" s="60">
        <f t="shared" ref="AF203:AO203" si="123">AF173</f>
        <v>124.919146252</v>
      </c>
      <c r="AG203" s="60">
        <f t="shared" si="123"/>
        <v>124.76377974799999</v>
      </c>
      <c r="AH203" s="60">
        <f t="shared" si="123"/>
        <v>117.09936519999999</v>
      </c>
      <c r="AI203" s="60">
        <f t="shared" si="123"/>
        <v>117.38936800000002</v>
      </c>
      <c r="AJ203" s="60">
        <f t="shared" si="123"/>
        <v>112.3094704</v>
      </c>
      <c r="AK203" s="60">
        <f t="shared" si="123"/>
        <v>119.7416544</v>
      </c>
      <c r="AL203" s="60">
        <f t="shared" si="123"/>
        <v>139.87194399999998</v>
      </c>
      <c r="AM203" s="60">
        <f t="shared" si="123"/>
        <v>134.85349959999999</v>
      </c>
      <c r="AN203" s="60">
        <f t="shared" si="123"/>
        <v>139.39896600000003</v>
      </c>
      <c r="AO203" s="60">
        <f t="shared" si="123"/>
        <v>150.05157120000001</v>
      </c>
    </row>
    <row r="204" spans="20:41" x14ac:dyDescent="0.2">
      <c r="V204">
        <v>337</v>
      </c>
      <c r="W204">
        <v>17</v>
      </c>
      <c r="X204" s="59">
        <f t="shared" si="118"/>
        <v>12.631474963369735</v>
      </c>
      <c r="Y204" s="59">
        <f t="shared" si="118"/>
        <v>12.521852634895842</v>
      </c>
      <c r="Z204" s="59">
        <f t="shared" si="118"/>
        <v>12.923134843860135</v>
      </c>
      <c r="AA204" s="59">
        <f t="shared" si="118"/>
        <v>14.196657146523886</v>
      </c>
      <c r="AB204" s="59">
        <f t="shared" si="118"/>
        <v>15.043769888897591</v>
      </c>
      <c r="AC204" s="59">
        <f t="shared" si="118"/>
        <v>14.611458289395816</v>
      </c>
      <c r="AD204" s="59">
        <f t="shared" si="118"/>
        <v>14.903321573756507</v>
      </c>
      <c r="AE204" s="60">
        <f t="shared" si="106"/>
        <v>15.7177568</v>
      </c>
      <c r="AF204" s="60">
        <f t="shared" ref="AF204:AO204" si="124">AF174</f>
        <v>15.910832992000001</v>
      </c>
      <c r="AG204" s="60">
        <f t="shared" si="124"/>
        <v>15.124063008000002</v>
      </c>
      <c r="AH204" s="60">
        <f t="shared" si="124"/>
        <v>14.8191392</v>
      </c>
      <c r="AI204" s="60">
        <f t="shared" si="124"/>
        <v>15.282408400000001</v>
      </c>
      <c r="AJ204" s="60">
        <f t="shared" si="124"/>
        <v>14.8115156</v>
      </c>
      <c r="AK204" s="60">
        <f t="shared" si="124"/>
        <v>15.893727200000001</v>
      </c>
      <c r="AL204" s="60">
        <f t="shared" si="124"/>
        <v>17.164043199999998</v>
      </c>
      <c r="AM204" s="60">
        <f t="shared" si="124"/>
        <v>16.8351492</v>
      </c>
      <c r="AN204" s="60">
        <f t="shared" si="124"/>
        <v>17.583059599999999</v>
      </c>
      <c r="AO204" s="60">
        <f t="shared" si="124"/>
        <v>21.681554000000002</v>
      </c>
    </row>
    <row r="205" spans="20:41" x14ac:dyDescent="0.2">
      <c r="V205">
        <v>339</v>
      </c>
      <c r="W205">
        <v>18</v>
      </c>
      <c r="X205" s="59">
        <f t="shared" si="118"/>
        <v>15.036238412445559</v>
      </c>
      <c r="Y205" s="59">
        <f t="shared" si="118"/>
        <v>17.025238460265864</v>
      </c>
      <c r="Z205" s="59">
        <f t="shared" si="118"/>
        <v>19.1050042864278</v>
      </c>
      <c r="AA205" s="59">
        <f t="shared" si="118"/>
        <v>19.148083576481536</v>
      </c>
      <c r="AB205" s="59">
        <f t="shared" si="118"/>
        <v>18.184177545381896</v>
      </c>
      <c r="AC205" s="59">
        <f t="shared" si="118"/>
        <v>17.607198958990722</v>
      </c>
      <c r="AD205" s="59">
        <f t="shared" si="118"/>
        <v>17.138340826917922</v>
      </c>
      <c r="AE205" s="60">
        <f t="shared" si="106"/>
        <v>18.964561199999999</v>
      </c>
      <c r="AF205" s="60">
        <f t="shared" ref="AF205:AO205" si="125">AF175</f>
        <v>18.673640299999999</v>
      </c>
      <c r="AG205" s="60">
        <f t="shared" si="125"/>
        <v>17.836752100000002</v>
      </c>
      <c r="AH205" s="60">
        <f t="shared" si="125"/>
        <v>17.7538312</v>
      </c>
      <c r="AI205" s="60">
        <f t="shared" si="125"/>
        <v>17.943418399999999</v>
      </c>
      <c r="AJ205" s="60">
        <f t="shared" si="125"/>
        <v>18.400562399999998</v>
      </c>
      <c r="AK205" s="60">
        <f t="shared" si="125"/>
        <v>18.615524399999998</v>
      </c>
      <c r="AL205" s="60">
        <f t="shared" si="125"/>
        <v>19.538709999999998</v>
      </c>
      <c r="AM205" s="60">
        <f t="shared" si="125"/>
        <v>18.941718000000002</v>
      </c>
      <c r="AN205" s="60">
        <f t="shared" si="125"/>
        <v>19.592045200000001</v>
      </c>
      <c r="AO205" s="60">
        <f t="shared" si="125"/>
        <v>24.3555384</v>
      </c>
    </row>
    <row r="207" spans="20:41" x14ac:dyDescent="0.2">
      <c r="X207" s="57">
        <f>SUM(X188:X205)-X193</f>
        <v>1688.1590000000003</v>
      </c>
      <c r="Y207" s="57">
        <f t="shared" ref="Y207:AD207" si="126">SUM(Y188:Y205)-Y193</f>
        <v>1735.4649999999999</v>
      </c>
      <c r="Z207" s="57">
        <f t="shared" si="126"/>
        <v>1880.252</v>
      </c>
      <c r="AA207" s="57">
        <f t="shared" si="126"/>
        <v>2045.0880000000002</v>
      </c>
      <c r="AB207" s="57">
        <f t="shared" si="126"/>
        <v>2081.5889999999995</v>
      </c>
      <c r="AC207" s="57">
        <f t="shared" si="126"/>
        <v>1985.2999999999995</v>
      </c>
      <c r="AD207" s="57">
        <f t="shared" si="126"/>
        <v>2131.8809999999994</v>
      </c>
    </row>
    <row r="208" spans="20:41" x14ac:dyDescent="0.2">
      <c r="T208" s="52" t="s">
        <v>253</v>
      </c>
      <c r="X208" s="57">
        <f t="shared" ref="X208:AD208" si="127">X47</f>
        <v>1688.1590000000001</v>
      </c>
      <c r="Y208" s="57">
        <f t="shared" si="127"/>
        <v>1735.4649999999999</v>
      </c>
      <c r="Z208" s="57">
        <f t="shared" si="127"/>
        <v>1880.252</v>
      </c>
      <c r="AA208" s="57">
        <f t="shared" si="127"/>
        <v>2045.0880000000004</v>
      </c>
      <c r="AB208" s="57">
        <f t="shared" si="127"/>
        <v>2081.5889999999999</v>
      </c>
      <c r="AC208" s="57">
        <f t="shared" si="127"/>
        <v>1985.3000000000002</v>
      </c>
      <c r="AD208" s="57">
        <f t="shared" si="127"/>
        <v>2131.8809999999999</v>
      </c>
    </row>
  </sheetData>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N133"/>
  <sheetViews>
    <sheetView topLeftCell="AI1" workbookViewId="0">
      <selection activeCell="AU5" sqref="AU5"/>
    </sheetView>
  </sheetViews>
  <sheetFormatPr defaultColWidth="9.140625" defaultRowHeight="12.75" x14ac:dyDescent="0.2"/>
  <cols>
    <col min="1" max="16384" width="9.140625" style="62"/>
  </cols>
  <sheetData>
    <row r="1" spans="1:66" ht="15" x14ac:dyDescent="0.25">
      <c r="A1" s="62" t="s">
        <v>248</v>
      </c>
      <c r="B1" s="62" t="s">
        <v>235</v>
      </c>
      <c r="C1" s="62">
        <f>1958</f>
        <v>1958</v>
      </c>
      <c r="D1" s="62">
        <f>C1+1</f>
        <v>1959</v>
      </c>
      <c r="E1" s="62">
        <f t="shared" ref="E1:AD1" si="0">D1+1</f>
        <v>1960</v>
      </c>
      <c r="F1" s="62">
        <f t="shared" si="0"/>
        <v>1961</v>
      </c>
      <c r="G1" s="62">
        <f t="shared" si="0"/>
        <v>1962</v>
      </c>
      <c r="H1" s="62">
        <f t="shared" si="0"/>
        <v>1963</v>
      </c>
      <c r="I1" s="62">
        <f t="shared" si="0"/>
        <v>1964</v>
      </c>
      <c r="J1" s="62">
        <f t="shared" si="0"/>
        <v>1965</v>
      </c>
      <c r="K1" s="62">
        <f t="shared" si="0"/>
        <v>1966</v>
      </c>
      <c r="L1" s="62">
        <f t="shared" si="0"/>
        <v>1967</v>
      </c>
      <c r="M1" s="62">
        <f t="shared" si="0"/>
        <v>1968</v>
      </c>
      <c r="N1" s="62">
        <f t="shared" si="0"/>
        <v>1969</v>
      </c>
      <c r="O1" s="62">
        <f t="shared" si="0"/>
        <v>1970</v>
      </c>
      <c r="P1" s="62">
        <f t="shared" si="0"/>
        <v>1971</v>
      </c>
      <c r="Q1" s="62">
        <f t="shared" si="0"/>
        <v>1972</v>
      </c>
      <c r="R1" s="62">
        <f t="shared" si="0"/>
        <v>1973</v>
      </c>
      <c r="S1" s="62">
        <f t="shared" si="0"/>
        <v>1974</v>
      </c>
      <c r="T1" s="62">
        <f t="shared" si="0"/>
        <v>1975</v>
      </c>
      <c r="U1" s="62">
        <f t="shared" si="0"/>
        <v>1976</v>
      </c>
      <c r="V1" s="62">
        <f t="shared" si="0"/>
        <v>1977</v>
      </c>
      <c r="W1" s="62">
        <f t="shared" si="0"/>
        <v>1978</v>
      </c>
      <c r="X1" s="62">
        <f t="shared" si="0"/>
        <v>1979</v>
      </c>
      <c r="Y1" s="62">
        <f t="shared" si="0"/>
        <v>1980</v>
      </c>
      <c r="Z1" s="62">
        <f t="shared" si="0"/>
        <v>1981</v>
      </c>
      <c r="AA1" s="62">
        <f t="shared" si="0"/>
        <v>1982</v>
      </c>
      <c r="AB1" s="62">
        <f t="shared" si="0"/>
        <v>1983</v>
      </c>
      <c r="AC1" s="62">
        <f t="shared" si="0"/>
        <v>1984</v>
      </c>
      <c r="AD1" s="62">
        <f t="shared" si="0"/>
        <v>1985</v>
      </c>
      <c r="AF1" s="50"/>
      <c r="AG1" s="50"/>
      <c r="AH1" s="50"/>
      <c r="AI1" s="50">
        <v>1958</v>
      </c>
      <c r="AJ1" s="50">
        <v>1959</v>
      </c>
      <c r="AK1" s="50">
        <v>1960</v>
      </c>
      <c r="AL1" s="50">
        <v>1961</v>
      </c>
      <c r="AM1" s="50">
        <v>1962</v>
      </c>
      <c r="AN1" s="50">
        <v>1963</v>
      </c>
      <c r="AO1" s="50">
        <v>1964</v>
      </c>
      <c r="AP1" s="50">
        <v>1965</v>
      </c>
      <c r="AQ1" s="50">
        <v>1966</v>
      </c>
      <c r="AR1" s="50">
        <v>1967</v>
      </c>
      <c r="AS1" s="50">
        <v>1968</v>
      </c>
      <c r="AT1" s="50">
        <v>1969</v>
      </c>
      <c r="AU1" s="50">
        <v>1970</v>
      </c>
      <c r="AV1" s="50">
        <v>1971</v>
      </c>
      <c r="AW1" s="50">
        <v>1972</v>
      </c>
      <c r="AX1" s="50">
        <v>1973</v>
      </c>
      <c r="AY1" s="50">
        <v>1974</v>
      </c>
      <c r="AZ1" s="50">
        <v>1975</v>
      </c>
      <c r="BA1" s="50">
        <v>1976</v>
      </c>
      <c r="BB1" s="50">
        <v>1977</v>
      </c>
      <c r="BC1" s="50">
        <v>1978</v>
      </c>
      <c r="BD1" s="50">
        <v>1979</v>
      </c>
      <c r="BE1" s="50">
        <v>1980</v>
      </c>
      <c r="BF1" s="50">
        <v>1981</v>
      </c>
      <c r="BG1" s="50">
        <v>1982</v>
      </c>
      <c r="BH1" s="50">
        <v>1983</v>
      </c>
      <c r="BI1" s="50">
        <v>1984</v>
      </c>
      <c r="BJ1" s="50">
        <v>1985</v>
      </c>
      <c r="BK1" s="50"/>
      <c r="BL1" s="50" t="s">
        <v>249</v>
      </c>
      <c r="BM1" s="50"/>
    </row>
    <row r="2" spans="1:66" ht="15" x14ac:dyDescent="0.25">
      <c r="A2" s="62">
        <v>1</v>
      </c>
      <c r="B2" s="62">
        <v>400</v>
      </c>
      <c r="C2" s="62">
        <v>16.065000000000001</v>
      </c>
      <c r="D2" s="62">
        <v>18.783999999999999</v>
      </c>
      <c r="E2" s="62">
        <v>21.259</v>
      </c>
      <c r="F2" s="62">
        <v>25.821999999999999</v>
      </c>
      <c r="G2" s="62">
        <v>29.928000000000001</v>
      </c>
      <c r="H2" s="62">
        <v>33.186</v>
      </c>
      <c r="I2" s="62">
        <v>38.668999999999997</v>
      </c>
      <c r="J2" s="62">
        <v>38.642000000000003</v>
      </c>
      <c r="K2" s="62">
        <v>42.38</v>
      </c>
      <c r="L2" s="62">
        <v>43.543999999999997</v>
      </c>
      <c r="M2" s="62">
        <v>44.222999999999999</v>
      </c>
      <c r="N2" s="62">
        <v>46.197000000000003</v>
      </c>
      <c r="O2" s="62">
        <v>50.710999999999999</v>
      </c>
      <c r="P2" s="62">
        <v>47.997</v>
      </c>
      <c r="Q2" s="62">
        <v>50.371000000000002</v>
      </c>
      <c r="R2" s="62">
        <v>54.356000000000002</v>
      </c>
      <c r="S2" s="62">
        <v>44.252000000000002</v>
      </c>
      <c r="T2" s="62">
        <v>49.975999999999999</v>
      </c>
      <c r="U2" s="62">
        <v>68.697999999999993</v>
      </c>
      <c r="V2" s="62">
        <v>70.239000000000004</v>
      </c>
      <c r="W2" s="62">
        <v>102.38</v>
      </c>
      <c r="X2" s="62">
        <v>70.94</v>
      </c>
      <c r="Y2" s="62">
        <v>62.933</v>
      </c>
      <c r="Z2" s="62">
        <v>45.587000000000003</v>
      </c>
      <c r="AA2" s="62">
        <v>45.637999999999998</v>
      </c>
      <c r="AB2" s="62">
        <v>50.534999999999997</v>
      </c>
      <c r="AC2" s="62">
        <v>42.66</v>
      </c>
      <c r="AD2" s="62">
        <v>35.606000000000002</v>
      </c>
      <c r="AF2" s="50">
        <v>311</v>
      </c>
      <c r="AG2" s="50">
        <v>1</v>
      </c>
      <c r="AH2" s="50"/>
      <c r="AI2" s="50">
        <f>SUMIF($B$2:$B$133,"=311",C$2:C$133)</f>
        <v>709.39600000000007</v>
      </c>
      <c r="AJ2" s="50">
        <f t="shared" ref="AJ2:BJ2" si="1">SUMIF($B$2:$B$133,"=311",D$2:D$133)</f>
        <v>712.73899999999992</v>
      </c>
      <c r="AK2" s="50">
        <f t="shared" si="1"/>
        <v>719.11099999999999</v>
      </c>
      <c r="AL2" s="50">
        <f t="shared" si="1"/>
        <v>690.21199999999999</v>
      </c>
      <c r="AM2" s="50">
        <f t="shared" si="1"/>
        <v>703.63099999999997</v>
      </c>
      <c r="AN2" s="50">
        <f t="shared" si="1"/>
        <v>701.15700000000004</v>
      </c>
      <c r="AO2" s="50">
        <f t="shared" si="1"/>
        <v>771.35300000000007</v>
      </c>
      <c r="AP2" s="50">
        <f t="shared" si="1"/>
        <v>764.09699999999998</v>
      </c>
      <c r="AQ2" s="50">
        <f t="shared" si="1"/>
        <v>786.34100000000001</v>
      </c>
      <c r="AR2" s="50">
        <f t="shared" si="1"/>
        <v>821.12599999999998</v>
      </c>
      <c r="AS2" s="50">
        <f t="shared" si="1"/>
        <v>941.00700000000006</v>
      </c>
      <c r="AT2" s="50">
        <f t="shared" si="1"/>
        <v>860.30399999999997</v>
      </c>
      <c r="AU2" s="50">
        <f t="shared" si="1"/>
        <v>882.41100000000006</v>
      </c>
      <c r="AV2" s="50">
        <f t="shared" si="1"/>
        <v>896.35400000000004</v>
      </c>
      <c r="AW2" s="50">
        <f t="shared" si="1"/>
        <v>889.75599999999997</v>
      </c>
      <c r="AX2" s="50">
        <f t="shared" si="1"/>
        <v>863.04500000000007</v>
      </c>
      <c r="AY2" s="50">
        <f t="shared" si="1"/>
        <v>788.71900000000005</v>
      </c>
      <c r="AZ2" s="50">
        <f t="shared" si="1"/>
        <v>791.38300000000004</v>
      </c>
      <c r="BA2" s="50">
        <f t="shared" si="1"/>
        <v>795.08199999999999</v>
      </c>
      <c r="BB2" s="50">
        <f t="shared" si="1"/>
        <v>803.29600000000005</v>
      </c>
      <c r="BC2" s="50">
        <f t="shared" si="1"/>
        <v>826.99199999999996</v>
      </c>
      <c r="BD2" s="50">
        <f t="shared" si="1"/>
        <v>798.23899999999992</v>
      </c>
      <c r="BE2" s="50">
        <f t="shared" si="1"/>
        <v>793.90499999999997</v>
      </c>
      <c r="BF2" s="50">
        <f t="shared" si="1"/>
        <v>750.38799999999992</v>
      </c>
      <c r="BG2" s="50">
        <f t="shared" si="1"/>
        <v>767.68</v>
      </c>
      <c r="BH2" s="50">
        <f t="shared" si="1"/>
        <v>797.24399999999991</v>
      </c>
      <c r="BI2" s="50">
        <f t="shared" si="1"/>
        <v>791.21399999999994</v>
      </c>
      <c r="BJ2" s="50">
        <f t="shared" si="1"/>
        <v>700.952</v>
      </c>
      <c r="BK2" s="50"/>
      <c r="BL2" s="50">
        <v>700.95</v>
      </c>
      <c r="BM2" s="50">
        <v>311</v>
      </c>
      <c r="BN2" s="75" t="s">
        <v>262</v>
      </c>
    </row>
    <row r="3" spans="1:66" ht="15" x14ac:dyDescent="0.25">
      <c r="A3" s="62">
        <v>2</v>
      </c>
      <c r="B3" s="62">
        <v>400</v>
      </c>
      <c r="C3" s="62">
        <v>148.99</v>
      </c>
      <c r="D3" s="62">
        <v>157.399</v>
      </c>
      <c r="E3" s="62">
        <v>173.477</v>
      </c>
      <c r="F3" s="62">
        <v>188.65700000000001</v>
      </c>
      <c r="G3" s="62">
        <v>201.7</v>
      </c>
      <c r="H3" s="62">
        <v>217.21199999999999</v>
      </c>
      <c r="I3" s="62">
        <v>235.654</v>
      </c>
      <c r="J3" s="62">
        <v>246.98500000000001</v>
      </c>
      <c r="K3" s="62">
        <v>259.41000000000003</v>
      </c>
      <c r="L3" s="62">
        <v>270.09300000000002</v>
      </c>
      <c r="M3" s="62">
        <v>272.38600000000002</v>
      </c>
      <c r="N3" s="62">
        <v>288.25099999999998</v>
      </c>
      <c r="O3" s="62">
        <v>294.66000000000003</v>
      </c>
      <c r="P3" s="62">
        <v>304.46499999999997</v>
      </c>
      <c r="Q3" s="62">
        <v>305.17200000000003</v>
      </c>
      <c r="R3" s="62">
        <v>336.39699999999999</v>
      </c>
      <c r="S3" s="62">
        <v>239.042</v>
      </c>
      <c r="T3" s="62">
        <v>259.22699999999998</v>
      </c>
      <c r="U3" s="62">
        <v>300.58800000000002</v>
      </c>
      <c r="V3" s="62">
        <v>247.28899999999999</v>
      </c>
      <c r="W3" s="62">
        <v>303.495</v>
      </c>
      <c r="X3" s="62">
        <v>244.42699999999999</v>
      </c>
      <c r="Y3" s="62">
        <v>200.73</v>
      </c>
      <c r="Z3" s="62">
        <v>185.964</v>
      </c>
      <c r="AA3" s="62">
        <v>197.42099999999999</v>
      </c>
      <c r="AB3" s="62">
        <v>158.34299999999999</v>
      </c>
      <c r="AC3" s="62">
        <v>168.114</v>
      </c>
      <c r="AD3" s="62">
        <v>141.571</v>
      </c>
      <c r="AF3" s="50">
        <v>313</v>
      </c>
      <c r="AG3" s="50">
        <v>2</v>
      </c>
      <c r="AH3" s="50"/>
      <c r="AI3" s="50">
        <f>SUMIF($B$2:$B$133,"=313",C$2:C$133)</f>
        <v>197.73500000000001</v>
      </c>
      <c r="AJ3" s="50">
        <f t="shared" ref="AJ3:BJ3" si="2">SUMIF($B$2:$B$133,"=313",D$2:D$133)</f>
        <v>194.28799999999998</v>
      </c>
      <c r="AK3" s="50">
        <f t="shared" si="2"/>
        <v>194.018</v>
      </c>
      <c r="AL3" s="50">
        <f t="shared" si="2"/>
        <v>184.63799999999998</v>
      </c>
      <c r="AM3" s="50">
        <f t="shared" si="2"/>
        <v>189.839</v>
      </c>
      <c r="AN3" s="50">
        <f t="shared" si="2"/>
        <v>198.375</v>
      </c>
      <c r="AO3" s="50">
        <f t="shared" si="2"/>
        <v>217.084</v>
      </c>
      <c r="AP3" s="50">
        <f t="shared" si="2"/>
        <v>224.578</v>
      </c>
      <c r="AQ3" s="50">
        <f t="shared" si="2"/>
        <v>234.44800000000001</v>
      </c>
      <c r="AR3" s="50">
        <f t="shared" si="2"/>
        <v>257.56799999999998</v>
      </c>
      <c r="AS3" s="50">
        <f t="shared" si="2"/>
        <v>261.846</v>
      </c>
      <c r="AT3" s="50">
        <f t="shared" si="2"/>
        <v>260.27300000000002</v>
      </c>
      <c r="AU3" s="50">
        <f t="shared" si="2"/>
        <v>254.73499999999999</v>
      </c>
      <c r="AV3" s="50">
        <f t="shared" si="2"/>
        <v>271.54899999999998</v>
      </c>
      <c r="AW3" s="50">
        <f t="shared" si="2"/>
        <v>273.87000000000006</v>
      </c>
      <c r="AX3" s="50">
        <f t="shared" si="2"/>
        <v>252.18700000000001</v>
      </c>
      <c r="AY3" s="50">
        <f t="shared" si="2"/>
        <v>220.44800000000001</v>
      </c>
      <c r="AZ3" s="50">
        <f t="shared" si="2"/>
        <v>219.798</v>
      </c>
      <c r="BA3" s="50">
        <f t="shared" si="2"/>
        <v>230.82899999999998</v>
      </c>
      <c r="BB3" s="50">
        <f t="shared" si="2"/>
        <v>243.09300000000002</v>
      </c>
      <c r="BC3" s="50">
        <f t="shared" si="2"/>
        <v>238.75</v>
      </c>
      <c r="BD3" s="50">
        <f t="shared" si="2"/>
        <v>225.91599999999997</v>
      </c>
      <c r="BE3" s="50">
        <f t="shared" si="2"/>
        <v>208.69900000000001</v>
      </c>
      <c r="BF3" s="50">
        <f t="shared" si="2"/>
        <v>203.875</v>
      </c>
      <c r="BG3" s="50">
        <f t="shared" si="2"/>
        <v>180.465</v>
      </c>
      <c r="BH3" s="50">
        <f t="shared" si="2"/>
        <v>202.08600000000001</v>
      </c>
      <c r="BI3" s="50">
        <f t="shared" si="2"/>
        <v>198.92</v>
      </c>
      <c r="BJ3" s="50">
        <f t="shared" si="2"/>
        <v>176.35299999999998</v>
      </c>
      <c r="BK3" s="50"/>
      <c r="BL3" s="50">
        <v>176.352</v>
      </c>
      <c r="BM3" s="50">
        <v>313</v>
      </c>
    </row>
    <row r="4" spans="1:66" ht="15" x14ac:dyDescent="0.25">
      <c r="A4" s="62">
        <v>3</v>
      </c>
      <c r="B4" s="62">
        <v>400</v>
      </c>
      <c r="C4" s="62">
        <v>4.0000000000000001E-3</v>
      </c>
      <c r="D4" s="62">
        <v>4.0000000000000001E-3</v>
      </c>
      <c r="E4" s="62">
        <v>4.0000000000000001E-3</v>
      </c>
      <c r="F4" s="62">
        <v>4.0000000000000001E-3</v>
      </c>
      <c r="G4" s="62">
        <v>4.0000000000000001E-3</v>
      </c>
      <c r="H4" s="62">
        <v>4.0000000000000001E-3</v>
      </c>
      <c r="I4" s="62">
        <v>4.0000000000000001E-3</v>
      </c>
      <c r="J4" s="62">
        <v>4.0000000000000001E-3</v>
      </c>
      <c r="K4" s="62">
        <v>5.0000000000000001E-3</v>
      </c>
      <c r="L4" s="62">
        <v>5.0000000000000001E-3</v>
      </c>
      <c r="M4" s="62">
        <v>5.0000000000000001E-3</v>
      </c>
      <c r="N4" s="62">
        <v>5.0000000000000001E-3</v>
      </c>
      <c r="O4" s="62">
        <v>5.0000000000000001E-3</v>
      </c>
      <c r="P4" s="62">
        <v>5.0000000000000001E-3</v>
      </c>
      <c r="Q4" s="62">
        <v>6.0000000000000001E-3</v>
      </c>
      <c r="R4" s="62">
        <v>7.0000000000000001E-3</v>
      </c>
      <c r="S4" s="62">
        <v>7.0000000000000001E-3</v>
      </c>
      <c r="T4" s="62">
        <v>7.0000000000000001E-3</v>
      </c>
      <c r="U4" s="62">
        <v>7.0000000000000001E-3</v>
      </c>
      <c r="V4" s="62">
        <v>6.0000000000000001E-3</v>
      </c>
      <c r="W4" s="62">
        <v>6.0000000000000001E-3</v>
      </c>
      <c r="X4" s="62">
        <v>5.0000000000000001E-3</v>
      </c>
      <c r="Y4" s="62">
        <v>4.0000000000000001E-3</v>
      </c>
      <c r="Z4" s="62">
        <v>3.0000000000000001E-3</v>
      </c>
      <c r="AA4" s="62">
        <v>2E-3</v>
      </c>
      <c r="AB4" s="62">
        <v>2E-3</v>
      </c>
      <c r="AC4" s="62">
        <v>2E-3</v>
      </c>
      <c r="AD4" s="62">
        <v>2E-3</v>
      </c>
      <c r="AF4" s="50">
        <v>315</v>
      </c>
      <c r="AG4" s="50">
        <v>3</v>
      </c>
      <c r="AH4" s="50"/>
      <c r="AI4" s="50">
        <f>SUMIF($B$2:$B$133,"=315",C$2:C$133)</f>
        <v>56.332000000000008</v>
      </c>
      <c r="AJ4" s="50">
        <f t="shared" ref="AJ4:BJ4" si="3">SUMIF($B$2:$B$133,"=315",D$2:D$133)</f>
        <v>52.491999999999997</v>
      </c>
      <c r="AK4" s="50">
        <f t="shared" si="3"/>
        <v>52.887</v>
      </c>
      <c r="AL4" s="50">
        <f t="shared" si="3"/>
        <v>46.849999999999994</v>
      </c>
      <c r="AM4" s="50">
        <f t="shared" si="3"/>
        <v>47.887999999999998</v>
      </c>
      <c r="AN4" s="50">
        <f t="shared" si="3"/>
        <v>45.750999999999998</v>
      </c>
      <c r="AO4" s="50">
        <f t="shared" si="3"/>
        <v>50.46</v>
      </c>
      <c r="AP4" s="50">
        <f t="shared" si="3"/>
        <v>54.545999999999999</v>
      </c>
      <c r="AQ4" s="50">
        <f t="shared" si="3"/>
        <v>59.272999999999996</v>
      </c>
      <c r="AR4" s="50">
        <f t="shared" si="3"/>
        <v>66.421999999999997</v>
      </c>
      <c r="AS4" s="50">
        <f t="shared" si="3"/>
        <v>77.741</v>
      </c>
      <c r="AT4" s="50">
        <f t="shared" si="3"/>
        <v>65.63</v>
      </c>
      <c r="AU4" s="50">
        <f t="shared" si="3"/>
        <v>65.762</v>
      </c>
      <c r="AV4" s="50">
        <f t="shared" si="3"/>
        <v>62.195999999999998</v>
      </c>
      <c r="AW4" s="50">
        <f t="shared" si="3"/>
        <v>58.408000000000001</v>
      </c>
      <c r="AX4" s="50">
        <f t="shared" si="3"/>
        <v>49.652999999999999</v>
      </c>
      <c r="AY4" s="50">
        <f t="shared" si="3"/>
        <v>42.930999999999997</v>
      </c>
      <c r="AZ4" s="50">
        <f t="shared" si="3"/>
        <v>41.317</v>
      </c>
      <c r="BA4" s="50">
        <f t="shared" si="3"/>
        <v>40.389999999999993</v>
      </c>
      <c r="BB4" s="50">
        <f t="shared" si="3"/>
        <v>44.045000000000002</v>
      </c>
      <c r="BC4" s="50">
        <f t="shared" si="3"/>
        <v>45.826999999999998</v>
      </c>
      <c r="BD4" s="50">
        <f t="shared" si="3"/>
        <v>41.187999999999995</v>
      </c>
      <c r="BE4" s="50">
        <f t="shared" si="3"/>
        <v>40.210999999999999</v>
      </c>
      <c r="BF4" s="50">
        <f t="shared" si="3"/>
        <v>40.091999999999999</v>
      </c>
      <c r="BG4" s="50">
        <f t="shared" si="3"/>
        <v>32.204000000000001</v>
      </c>
      <c r="BH4" s="50">
        <f t="shared" si="3"/>
        <v>35.009</v>
      </c>
      <c r="BI4" s="50">
        <f t="shared" si="3"/>
        <v>30.833999999999996</v>
      </c>
      <c r="BJ4" s="50">
        <f t="shared" si="3"/>
        <v>26.388000000000002</v>
      </c>
      <c r="BK4" s="50"/>
      <c r="BL4" s="50">
        <v>26.385999999999999</v>
      </c>
      <c r="BM4" s="50">
        <v>315</v>
      </c>
    </row>
    <row r="5" spans="1:66" ht="15" x14ac:dyDescent="0.25">
      <c r="A5" s="62">
        <v>4</v>
      </c>
      <c r="B5" s="62">
        <v>400</v>
      </c>
      <c r="C5" s="62">
        <v>1.873</v>
      </c>
      <c r="D5" s="62">
        <v>1.8859999999999999</v>
      </c>
      <c r="E5" s="62">
        <v>1.9510000000000001</v>
      </c>
      <c r="F5" s="62">
        <v>2.0179999999999998</v>
      </c>
      <c r="G5" s="62">
        <v>2.121</v>
      </c>
      <c r="H5" s="62">
        <v>2.1739999999999999</v>
      </c>
      <c r="I5" s="62">
        <v>2.3450000000000002</v>
      </c>
      <c r="J5" s="62">
        <v>2.4790000000000001</v>
      </c>
      <c r="K5" s="62">
        <v>2.5739999999999998</v>
      </c>
      <c r="L5" s="62">
        <v>2.6709999999999998</v>
      </c>
      <c r="M5" s="62">
        <v>2.8239999999999998</v>
      </c>
      <c r="N5" s="62">
        <v>2.9569999999999999</v>
      </c>
      <c r="O5" s="62">
        <v>3.2549999999999999</v>
      </c>
      <c r="P5" s="62">
        <v>3.4620000000000002</v>
      </c>
      <c r="Q5" s="62">
        <v>3.6539999999999999</v>
      </c>
      <c r="R5" s="62">
        <v>3.8929999999999998</v>
      </c>
      <c r="S5" s="62">
        <v>4.0780000000000003</v>
      </c>
      <c r="T5" s="62">
        <v>4.1619999999999999</v>
      </c>
      <c r="U5" s="62">
        <v>4.3949999999999996</v>
      </c>
      <c r="V5" s="62">
        <v>4.6539999999999999</v>
      </c>
      <c r="W5" s="62">
        <v>5.0430000000000001</v>
      </c>
      <c r="X5" s="62">
        <v>5.4020000000000001</v>
      </c>
      <c r="Y5" s="62">
        <v>5.7240000000000002</v>
      </c>
      <c r="Z5" s="62">
        <v>6.0839999999999996</v>
      </c>
      <c r="AA5" s="62">
        <v>6.1980000000000004</v>
      </c>
      <c r="AB5" s="62">
        <v>6.32</v>
      </c>
      <c r="AC5" s="62">
        <v>6.423</v>
      </c>
      <c r="AD5" s="62">
        <v>6.2569999999999997</v>
      </c>
      <c r="AF5" s="50">
        <v>321</v>
      </c>
      <c r="AG5" s="50">
        <v>4</v>
      </c>
      <c r="AH5" s="50"/>
      <c r="AI5" s="50">
        <f>SUMIF($B$2:$B$133,"=321",C$2:C$133)</f>
        <v>276.01400000000001</v>
      </c>
      <c r="AJ5" s="50">
        <f t="shared" ref="AJ5:BJ5" si="4">SUMIF($B$2:$B$133,"=321",D$2:D$133)</f>
        <v>304.94200000000006</v>
      </c>
      <c r="AK5" s="50">
        <f t="shared" si="4"/>
        <v>280.09399999999999</v>
      </c>
      <c r="AL5" s="50">
        <f t="shared" si="4"/>
        <v>267.18700000000001</v>
      </c>
      <c r="AM5" s="50">
        <f t="shared" si="4"/>
        <v>273.32100000000003</v>
      </c>
      <c r="AN5" s="50">
        <f t="shared" si="4"/>
        <v>322.24999999999994</v>
      </c>
      <c r="AO5" s="50">
        <f t="shared" si="4"/>
        <v>356.98499999999996</v>
      </c>
      <c r="AP5" s="50">
        <f t="shared" si="4"/>
        <v>380.27499999999998</v>
      </c>
      <c r="AQ5" s="50">
        <f t="shared" si="4"/>
        <v>381.06200000000001</v>
      </c>
      <c r="AR5" s="50">
        <f t="shared" si="4"/>
        <v>411.97799999999995</v>
      </c>
      <c r="AS5" s="50">
        <f t="shared" si="4"/>
        <v>471.56099999999998</v>
      </c>
      <c r="AT5" s="50">
        <f t="shared" si="4"/>
        <v>445.92699999999996</v>
      </c>
      <c r="AU5" s="50">
        <f t="shared" si="4"/>
        <v>437.23400000000004</v>
      </c>
      <c r="AV5" s="50">
        <f t="shared" si="4"/>
        <v>429.00200000000001</v>
      </c>
      <c r="AW5" s="50">
        <f t="shared" si="4"/>
        <v>449.85399999999998</v>
      </c>
      <c r="AX5" s="50">
        <f t="shared" si="4"/>
        <v>463.42200000000003</v>
      </c>
      <c r="AY5" s="50">
        <f t="shared" si="4"/>
        <v>443.20599999999996</v>
      </c>
      <c r="AZ5" s="50">
        <f t="shared" si="4"/>
        <v>415.05</v>
      </c>
      <c r="BA5" s="50">
        <f t="shared" si="4"/>
        <v>448.471</v>
      </c>
      <c r="BB5" s="50">
        <f t="shared" si="4"/>
        <v>445.00799999999998</v>
      </c>
      <c r="BC5" s="50">
        <f t="shared" si="4"/>
        <v>485.37400000000002</v>
      </c>
      <c r="BD5" s="50">
        <f t="shared" si="4"/>
        <v>484.101</v>
      </c>
      <c r="BE5" s="50">
        <f t="shared" si="4"/>
        <v>455.52300000000002</v>
      </c>
      <c r="BF5" s="50">
        <f t="shared" si="4"/>
        <v>451.28799999999995</v>
      </c>
      <c r="BG5" s="50">
        <f t="shared" si="4"/>
        <v>393.88299999999998</v>
      </c>
      <c r="BH5" s="50">
        <f t="shared" si="4"/>
        <v>433.86200000000002</v>
      </c>
      <c r="BI5" s="50">
        <f t="shared" si="4"/>
        <v>459.62899999999996</v>
      </c>
      <c r="BJ5" s="50">
        <f t="shared" si="4"/>
        <v>469.87200000000007</v>
      </c>
      <c r="BK5" s="50"/>
      <c r="BL5" s="50">
        <v>65.114999999999995</v>
      </c>
      <c r="BM5" s="50">
        <v>321</v>
      </c>
    </row>
    <row r="6" spans="1:66" ht="15" x14ac:dyDescent="0.25">
      <c r="A6" s="62">
        <v>5</v>
      </c>
      <c r="B6" s="62">
        <v>400</v>
      </c>
      <c r="C6" s="62">
        <v>35.573</v>
      </c>
      <c r="D6" s="62">
        <v>34.944000000000003</v>
      </c>
      <c r="E6" s="62">
        <v>52.655000000000001</v>
      </c>
      <c r="F6" s="62">
        <v>49.118000000000002</v>
      </c>
      <c r="G6" s="62">
        <v>48.795999999999999</v>
      </c>
      <c r="H6" s="62">
        <v>55.215000000000003</v>
      </c>
      <c r="I6" s="62">
        <v>65.194999999999993</v>
      </c>
      <c r="J6" s="62">
        <v>69.453999999999994</v>
      </c>
      <c r="K6" s="62">
        <v>77.468999999999994</v>
      </c>
      <c r="L6" s="62">
        <v>73.236999999999995</v>
      </c>
      <c r="M6" s="62">
        <v>76.831999999999994</v>
      </c>
      <c r="N6" s="62">
        <v>87.284999999999997</v>
      </c>
      <c r="O6" s="62">
        <v>88.350999999999999</v>
      </c>
      <c r="P6" s="62">
        <v>81.313999999999993</v>
      </c>
      <c r="Q6" s="62">
        <v>85.024000000000001</v>
      </c>
      <c r="R6" s="62">
        <v>100.309</v>
      </c>
      <c r="S6" s="62">
        <v>93.531000000000006</v>
      </c>
      <c r="T6" s="62">
        <v>83.114000000000004</v>
      </c>
      <c r="U6" s="62">
        <v>85.602999999999994</v>
      </c>
      <c r="V6" s="62">
        <v>66.667000000000002</v>
      </c>
      <c r="W6" s="62">
        <v>88.278000000000006</v>
      </c>
      <c r="X6" s="62">
        <v>89.41</v>
      </c>
      <c r="Y6" s="62">
        <v>73.397999999999996</v>
      </c>
      <c r="Z6" s="62">
        <v>68.914000000000001</v>
      </c>
      <c r="AA6" s="62">
        <v>34.087000000000003</v>
      </c>
      <c r="AB6" s="62">
        <v>36.314</v>
      </c>
      <c r="AC6" s="62">
        <v>49.112000000000002</v>
      </c>
      <c r="AD6" s="62">
        <v>45.786999999999999</v>
      </c>
      <c r="AF6" s="50">
        <v>322</v>
      </c>
      <c r="AG6" s="50">
        <v>5</v>
      </c>
      <c r="AH6" s="50"/>
      <c r="AI6" s="50">
        <f>SUMIF($B$2:$B$133,"=322",C$2:C$133)</f>
        <v>1167.136</v>
      </c>
      <c r="AJ6" s="50">
        <f t="shared" ref="AJ6:BJ6" si="5">SUMIF($B$2:$B$133,"=322",D$2:D$133)</f>
        <v>1234.1640000000002</v>
      </c>
      <c r="AK6" s="50">
        <f t="shared" si="5"/>
        <v>1262.0940000000001</v>
      </c>
      <c r="AL6" s="50">
        <f t="shared" si="5"/>
        <v>1281.96</v>
      </c>
      <c r="AM6" s="50">
        <f t="shared" si="5"/>
        <v>1359.0349999999999</v>
      </c>
      <c r="AN6" s="50">
        <f t="shared" si="5"/>
        <v>1407.019</v>
      </c>
      <c r="AO6" s="50">
        <f t="shared" si="5"/>
        <v>1480.287</v>
      </c>
      <c r="AP6" s="50">
        <f t="shared" si="5"/>
        <v>1577.0450000000001</v>
      </c>
      <c r="AQ6" s="50">
        <f t="shared" si="5"/>
        <v>1677.3750000000002</v>
      </c>
      <c r="AR6" s="50">
        <f t="shared" si="5"/>
        <v>1674.347</v>
      </c>
      <c r="AS6" s="50">
        <f t="shared" si="5"/>
        <v>1778.6859999999999</v>
      </c>
      <c r="AT6" s="50">
        <f t="shared" si="5"/>
        <v>1876.3650000000002</v>
      </c>
      <c r="AU6" s="50">
        <f t="shared" si="5"/>
        <v>1839.306</v>
      </c>
      <c r="AV6" s="50">
        <f t="shared" si="5"/>
        <v>1946.539</v>
      </c>
      <c r="AW6" s="50">
        <f t="shared" si="5"/>
        <v>2036.461</v>
      </c>
      <c r="AX6" s="50">
        <f t="shared" si="5"/>
        <v>2000.1790000000001</v>
      </c>
      <c r="AY6" s="50">
        <f t="shared" si="5"/>
        <v>2019.8880000000001</v>
      </c>
      <c r="AZ6" s="50">
        <f t="shared" si="5"/>
        <v>1859.2450000000001</v>
      </c>
      <c r="BA6" s="50">
        <f t="shared" si="5"/>
        <v>2033.7089999999998</v>
      </c>
      <c r="BB6" s="50">
        <f t="shared" si="5"/>
        <v>2087.9460000000004</v>
      </c>
      <c r="BC6" s="50">
        <f t="shared" si="5"/>
        <v>2147.0419999999999</v>
      </c>
      <c r="BD6" s="50">
        <f t="shared" si="5"/>
        <v>2142.8770000000004</v>
      </c>
      <c r="BE6" s="50">
        <f t="shared" si="5"/>
        <v>2086.7080000000001</v>
      </c>
      <c r="BF6" s="50">
        <f t="shared" si="5"/>
        <v>2134.06</v>
      </c>
      <c r="BG6" s="50">
        <f t="shared" si="5"/>
        <v>2024.623</v>
      </c>
      <c r="BH6" s="50">
        <f t="shared" si="5"/>
        <v>2211.1129999999998</v>
      </c>
      <c r="BI6" s="50">
        <f t="shared" si="5"/>
        <v>2279.723</v>
      </c>
      <c r="BJ6" s="50">
        <f t="shared" si="5"/>
        <v>2212.8360000000002</v>
      </c>
      <c r="BK6" s="50"/>
      <c r="BL6" s="50">
        <v>986.81000000000006</v>
      </c>
      <c r="BM6" s="50">
        <v>322</v>
      </c>
    </row>
    <row r="7" spans="1:66" ht="15" x14ac:dyDescent="0.25">
      <c r="A7" s="62">
        <v>6</v>
      </c>
      <c r="B7" s="62">
        <v>400</v>
      </c>
      <c r="C7" s="62">
        <v>8.1859999999999999</v>
      </c>
      <c r="D7" s="62">
        <v>10.353</v>
      </c>
      <c r="E7" s="62">
        <v>10.8</v>
      </c>
      <c r="F7" s="62">
        <v>10.242000000000001</v>
      </c>
      <c r="G7" s="62">
        <v>8.8810000000000002</v>
      </c>
      <c r="H7" s="62">
        <v>7.3090000000000002</v>
      </c>
      <c r="I7" s="62">
        <v>6.9610000000000003</v>
      </c>
      <c r="J7" s="62">
        <v>5.2050000000000001</v>
      </c>
      <c r="K7" s="62">
        <v>5.0529999999999999</v>
      </c>
      <c r="L7" s="62">
        <v>5.5430000000000001</v>
      </c>
      <c r="M7" s="62">
        <v>6.5110000000000001</v>
      </c>
      <c r="N7" s="62">
        <v>6.4219999999999997</v>
      </c>
      <c r="O7" s="62">
        <v>6.7430000000000003</v>
      </c>
      <c r="P7" s="62">
        <v>6.7619999999999996</v>
      </c>
      <c r="Q7" s="62">
        <v>7.141</v>
      </c>
      <c r="R7" s="62">
        <v>7.3049999999999997</v>
      </c>
      <c r="S7" s="62">
        <v>6.8</v>
      </c>
      <c r="T7" s="62">
        <v>7.0039999999999996</v>
      </c>
      <c r="U7" s="62">
        <v>7.9329999999999998</v>
      </c>
      <c r="V7" s="62">
        <v>9.6</v>
      </c>
      <c r="W7" s="62">
        <v>11.053000000000001</v>
      </c>
      <c r="X7" s="62">
        <v>10.571</v>
      </c>
      <c r="Y7" s="62">
        <v>11.577</v>
      </c>
      <c r="Z7" s="62">
        <v>9.5739999999999998</v>
      </c>
      <c r="AA7" s="62">
        <v>6.1559999999999997</v>
      </c>
      <c r="AB7" s="62">
        <v>4.5679999999999996</v>
      </c>
      <c r="AC7" s="62">
        <v>3.2879999999999998</v>
      </c>
      <c r="AD7" s="62">
        <v>2.25</v>
      </c>
      <c r="AF7" s="50">
        <v>323</v>
      </c>
      <c r="AG7" s="50">
        <v>6</v>
      </c>
      <c r="AH7" s="50"/>
      <c r="AI7" s="50">
        <f>SUMIF($B$2:$B$133,"=323",C$2:C$133)</f>
        <v>28.506</v>
      </c>
      <c r="AJ7" s="50">
        <f t="shared" ref="AJ7:BJ7" si="6">SUMIF($B$2:$B$133,"=323",D$2:D$133)</f>
        <v>25.885000000000002</v>
      </c>
      <c r="AK7" s="50">
        <f t="shared" si="6"/>
        <v>27.533999999999999</v>
      </c>
      <c r="AL7" s="50">
        <f t="shared" si="6"/>
        <v>27.466999999999999</v>
      </c>
      <c r="AM7" s="50">
        <f t="shared" si="6"/>
        <v>30.701000000000001</v>
      </c>
      <c r="AN7" s="50">
        <f t="shared" si="6"/>
        <v>30.968</v>
      </c>
      <c r="AO7" s="50">
        <f t="shared" si="6"/>
        <v>33.311999999999998</v>
      </c>
      <c r="AP7" s="50">
        <f t="shared" si="6"/>
        <v>36.149000000000001</v>
      </c>
      <c r="AQ7" s="50">
        <f t="shared" si="6"/>
        <v>38.834000000000003</v>
      </c>
      <c r="AR7" s="50">
        <f t="shared" si="6"/>
        <v>43.637999999999998</v>
      </c>
      <c r="AS7" s="50">
        <f t="shared" si="6"/>
        <v>49.350999999999999</v>
      </c>
      <c r="AT7" s="50">
        <f t="shared" si="6"/>
        <v>55.859000000000002</v>
      </c>
      <c r="AU7" s="50">
        <f t="shared" si="6"/>
        <v>60.798999999999999</v>
      </c>
      <c r="AV7" s="50">
        <f t="shared" si="6"/>
        <v>58.165999999999997</v>
      </c>
      <c r="AW7" s="50">
        <f t="shared" si="6"/>
        <v>56.883000000000003</v>
      </c>
      <c r="AX7" s="50">
        <f t="shared" si="6"/>
        <v>53.048000000000002</v>
      </c>
      <c r="AY7" s="50">
        <f t="shared" si="6"/>
        <v>43.956000000000003</v>
      </c>
      <c r="AZ7" s="50">
        <f t="shared" si="6"/>
        <v>47.404000000000003</v>
      </c>
      <c r="BA7" s="50">
        <f t="shared" si="6"/>
        <v>38.405999999999999</v>
      </c>
      <c r="BB7" s="50">
        <f t="shared" si="6"/>
        <v>46.491999999999997</v>
      </c>
      <c r="BC7" s="50">
        <f t="shared" si="6"/>
        <v>46.761000000000003</v>
      </c>
      <c r="BD7" s="50">
        <f t="shared" si="6"/>
        <v>51.27</v>
      </c>
      <c r="BE7" s="50">
        <f t="shared" si="6"/>
        <v>49.938000000000002</v>
      </c>
      <c r="BF7" s="50">
        <f t="shared" si="6"/>
        <v>49.947000000000003</v>
      </c>
      <c r="BG7" s="50">
        <f t="shared" si="6"/>
        <v>52.484999999999999</v>
      </c>
      <c r="BH7" s="50">
        <f t="shared" si="6"/>
        <v>55.146999999999998</v>
      </c>
      <c r="BI7" s="50">
        <f t="shared" si="6"/>
        <v>60.213000000000001</v>
      </c>
      <c r="BJ7" s="50">
        <f t="shared" si="6"/>
        <v>51.106999999999999</v>
      </c>
      <c r="BK7" s="50"/>
      <c r="BL7" s="50">
        <v>51.11</v>
      </c>
      <c r="BM7" s="50">
        <v>323</v>
      </c>
    </row>
    <row r="8" spans="1:66" ht="15" x14ac:dyDescent="0.25">
      <c r="A8" s="62">
        <v>7</v>
      </c>
      <c r="B8" s="62">
        <v>400</v>
      </c>
      <c r="C8" s="62">
        <v>36.893000000000001</v>
      </c>
      <c r="D8" s="62">
        <v>30.67</v>
      </c>
      <c r="E8" s="62">
        <v>33.015999999999998</v>
      </c>
      <c r="F8" s="62">
        <v>31.622</v>
      </c>
      <c r="G8" s="62">
        <v>29.895</v>
      </c>
      <c r="H8" s="62">
        <v>26.492999999999999</v>
      </c>
      <c r="I8" s="62">
        <v>28.367999999999999</v>
      </c>
      <c r="J8" s="62">
        <v>31.951000000000001</v>
      </c>
      <c r="K8" s="62">
        <v>34.131999999999998</v>
      </c>
      <c r="L8" s="62">
        <v>26.632999999999999</v>
      </c>
      <c r="M8" s="62">
        <v>31.513999999999999</v>
      </c>
      <c r="N8" s="62">
        <v>37.856000000000002</v>
      </c>
      <c r="O8" s="62">
        <v>42.697000000000003</v>
      </c>
      <c r="P8" s="62">
        <v>39.24</v>
      </c>
      <c r="Q8" s="62">
        <v>41.936</v>
      </c>
      <c r="R8" s="62">
        <v>43.134</v>
      </c>
      <c r="S8" s="62">
        <v>43.067</v>
      </c>
      <c r="T8" s="62">
        <v>40.777000000000001</v>
      </c>
      <c r="U8" s="62">
        <v>45.871000000000002</v>
      </c>
      <c r="V8" s="62">
        <v>45.854999999999997</v>
      </c>
      <c r="W8" s="62">
        <v>40.081000000000003</v>
      </c>
      <c r="X8" s="62">
        <v>37.295000000000002</v>
      </c>
      <c r="Y8" s="62">
        <v>29.722999999999999</v>
      </c>
      <c r="Z8" s="62">
        <v>32.796999999999997</v>
      </c>
      <c r="AA8" s="62">
        <v>24.236999999999998</v>
      </c>
      <c r="AB8" s="62">
        <v>21.797000000000001</v>
      </c>
      <c r="AC8" s="62">
        <v>21.891999999999999</v>
      </c>
      <c r="AD8" s="62">
        <v>19.489000000000001</v>
      </c>
      <c r="AF8" s="50">
        <v>324</v>
      </c>
      <c r="AG8" s="50">
        <v>7</v>
      </c>
      <c r="AH8" s="50"/>
      <c r="AI8" s="50">
        <f>SUMIF($B$2:$B$133,"=324",C$2:C$133)</f>
        <v>1958.1</v>
      </c>
      <c r="AJ8" s="50">
        <f t="shared" ref="AJ8:BJ8" si="7">SUMIF($B$2:$B$133,"=324",D$2:D$133)</f>
        <v>2063.3589999999999</v>
      </c>
      <c r="AK8" s="50">
        <f t="shared" si="7"/>
        <v>2122.5050000000001</v>
      </c>
      <c r="AL8" s="50">
        <f t="shared" si="7"/>
        <v>2136.0309999999999</v>
      </c>
      <c r="AM8" s="50">
        <f t="shared" si="7"/>
        <v>2187.6970000000001</v>
      </c>
      <c r="AN8" s="50">
        <f t="shared" si="7"/>
        <v>2208.9859999999999</v>
      </c>
      <c r="AO8" s="50">
        <f t="shared" si="7"/>
        <v>2271.1370000000002</v>
      </c>
      <c r="AP8" s="50">
        <f t="shared" si="7"/>
        <v>2302.9300000000003</v>
      </c>
      <c r="AQ8" s="50">
        <f t="shared" si="7"/>
        <v>2332.0500000000002</v>
      </c>
      <c r="AR8" s="50">
        <f t="shared" si="7"/>
        <v>2371.4950000000003</v>
      </c>
      <c r="AS8" s="50">
        <f t="shared" si="7"/>
        <v>2516.9090000000001</v>
      </c>
      <c r="AT8" s="50">
        <f t="shared" si="7"/>
        <v>2604.7339999999999</v>
      </c>
      <c r="AU8" s="50">
        <f t="shared" si="7"/>
        <v>2635.1559999999999</v>
      </c>
      <c r="AV8" s="50">
        <f t="shared" si="7"/>
        <v>2635.9049999999997</v>
      </c>
      <c r="AW8" s="50">
        <f t="shared" si="7"/>
        <v>2773.3790000000004</v>
      </c>
      <c r="AX8" s="50">
        <f t="shared" si="7"/>
        <v>2927.5309999999999</v>
      </c>
      <c r="AY8" s="50">
        <f t="shared" si="7"/>
        <v>2886.8559999999998</v>
      </c>
      <c r="AZ8" s="50">
        <f t="shared" si="7"/>
        <v>2747.96</v>
      </c>
      <c r="BA8" s="50">
        <f t="shared" si="7"/>
        <v>2839.1610000000001</v>
      </c>
      <c r="BB8" s="50">
        <f t="shared" si="7"/>
        <v>2935.9290000000005</v>
      </c>
      <c r="BC8" s="50">
        <f t="shared" si="7"/>
        <v>2926.7709999999997</v>
      </c>
      <c r="BD8" s="50">
        <f t="shared" si="7"/>
        <v>2880.9909999999995</v>
      </c>
      <c r="BE8" s="50">
        <f t="shared" si="7"/>
        <v>2766.5080000000003</v>
      </c>
      <c r="BF8" s="50">
        <f t="shared" si="7"/>
        <v>2323.83</v>
      </c>
      <c r="BG8" s="50">
        <f t="shared" si="7"/>
        <v>2303.2909999999997</v>
      </c>
      <c r="BH8" s="50">
        <f t="shared" si="7"/>
        <v>2329.6880000000001</v>
      </c>
      <c r="BI8" s="50">
        <f t="shared" si="7"/>
        <v>2352.5519999999997</v>
      </c>
      <c r="BJ8" s="50">
        <f t="shared" si="7"/>
        <v>2377.5550000000003</v>
      </c>
      <c r="BK8" s="50"/>
      <c r="BL8" s="50">
        <v>2376.7159999999999</v>
      </c>
      <c r="BM8" s="50">
        <v>324</v>
      </c>
    </row>
    <row r="9" spans="1:66" ht="15" x14ac:dyDescent="0.25">
      <c r="A9" s="62">
        <v>8</v>
      </c>
      <c r="B9" s="62">
        <v>400</v>
      </c>
      <c r="C9" s="62">
        <v>7.2670000000000003</v>
      </c>
      <c r="D9" s="62">
        <v>6.5229999999999997</v>
      </c>
      <c r="E9" s="62">
        <v>5.8869999999999996</v>
      </c>
      <c r="F9" s="62">
        <v>4.9749999999999996</v>
      </c>
      <c r="G9" s="62">
        <v>4.4619999999999997</v>
      </c>
      <c r="H9" s="62">
        <v>4.0019999999999998</v>
      </c>
      <c r="I9" s="62">
        <v>3.472</v>
      </c>
      <c r="J9" s="62">
        <v>3.8460000000000001</v>
      </c>
      <c r="K9" s="62">
        <v>3.6749999999999998</v>
      </c>
      <c r="L9" s="62">
        <v>3.46</v>
      </c>
      <c r="M9" s="62">
        <v>3.0619999999999998</v>
      </c>
      <c r="N9" s="62">
        <v>2.7919999999999998</v>
      </c>
      <c r="O9" s="62">
        <v>2.6179999999999999</v>
      </c>
      <c r="P9" s="62">
        <v>2.0529999999999999</v>
      </c>
      <c r="Q9" s="62">
        <v>1.8380000000000001</v>
      </c>
      <c r="R9" s="62">
        <v>1.744</v>
      </c>
      <c r="S9" s="62">
        <v>1.6950000000000001</v>
      </c>
      <c r="T9" s="62">
        <v>1.7310000000000001</v>
      </c>
      <c r="U9" s="62">
        <v>1.7190000000000001</v>
      </c>
      <c r="V9" s="62">
        <v>1.6579999999999999</v>
      </c>
      <c r="W9" s="62">
        <v>1.548</v>
      </c>
      <c r="X9" s="62">
        <v>1.7609999999999999</v>
      </c>
      <c r="Y9" s="62">
        <v>1.8220000000000001</v>
      </c>
      <c r="Z9" s="62">
        <v>1.748</v>
      </c>
      <c r="AA9" s="62">
        <v>1.7470000000000001</v>
      </c>
      <c r="AB9" s="62">
        <v>1.6319999999999999</v>
      </c>
      <c r="AC9" s="62">
        <v>1.84</v>
      </c>
      <c r="AD9" s="62">
        <v>1.8240000000000001</v>
      </c>
      <c r="AF9" s="50">
        <v>325</v>
      </c>
      <c r="AG9" s="50">
        <v>8</v>
      </c>
      <c r="AH9" s="50"/>
      <c r="AI9" s="50">
        <f>SUMIF($B$2:$B$133,"=325",C$2:C$133)</f>
        <v>1194.1369999999999</v>
      </c>
      <c r="AJ9" s="50">
        <f t="shared" ref="AJ9:BJ9" si="8">SUMIF($B$2:$B$133,"=325",D$2:D$133)</f>
        <v>1315.9350000000002</v>
      </c>
      <c r="AK9" s="50">
        <f t="shared" si="8"/>
        <v>1362.8520000000001</v>
      </c>
      <c r="AL9" s="50">
        <f t="shared" si="8"/>
        <v>1360.086</v>
      </c>
      <c r="AM9" s="50">
        <f t="shared" si="8"/>
        <v>1469.346</v>
      </c>
      <c r="AN9" s="50">
        <f t="shared" si="8"/>
        <v>1570.0090000000002</v>
      </c>
      <c r="AO9" s="50">
        <f t="shared" si="8"/>
        <v>1663.3750000000002</v>
      </c>
      <c r="AP9" s="50">
        <f t="shared" si="8"/>
        <v>1825.701</v>
      </c>
      <c r="AQ9" s="50">
        <f t="shared" si="8"/>
        <v>1946.3040000000001</v>
      </c>
      <c r="AR9" s="50">
        <f t="shared" si="8"/>
        <v>2021.4639999999999</v>
      </c>
      <c r="AS9" s="50">
        <f t="shared" si="8"/>
        <v>2061.5399999999995</v>
      </c>
      <c r="AT9" s="50">
        <f t="shared" si="8"/>
        <v>2161.9349999999999</v>
      </c>
      <c r="AU9" s="50">
        <f t="shared" si="8"/>
        <v>2110.4</v>
      </c>
      <c r="AV9" s="50">
        <f t="shared" si="8"/>
        <v>2174.7960000000003</v>
      </c>
      <c r="AW9" s="50">
        <f t="shared" si="8"/>
        <v>2188.2879999999996</v>
      </c>
      <c r="AX9" s="50">
        <f t="shared" si="8"/>
        <v>2223.35</v>
      </c>
      <c r="AY9" s="50">
        <f t="shared" si="8"/>
        <v>2532.9709999999995</v>
      </c>
      <c r="AZ9" s="50">
        <f t="shared" si="8"/>
        <v>2246.998</v>
      </c>
      <c r="BA9" s="50">
        <f t="shared" si="8"/>
        <v>2381.0800000000004</v>
      </c>
      <c r="BB9" s="50">
        <f t="shared" si="8"/>
        <v>2323.116</v>
      </c>
      <c r="BC9" s="50">
        <f t="shared" si="8"/>
        <v>2225.5829999999996</v>
      </c>
      <c r="BD9" s="50">
        <f t="shared" si="8"/>
        <v>2242.2139999999999</v>
      </c>
      <c r="BE9" s="50">
        <f t="shared" si="8"/>
        <v>2108.2630000000004</v>
      </c>
      <c r="BF9" s="50">
        <f t="shared" si="8"/>
        <v>2047.1180000000002</v>
      </c>
      <c r="BG9" s="50">
        <f t="shared" si="8"/>
        <v>1832.7389999999998</v>
      </c>
      <c r="BH9" s="50">
        <f t="shared" si="8"/>
        <v>1900.3729999999998</v>
      </c>
      <c r="BI9" s="50">
        <f t="shared" si="8"/>
        <v>1975.92</v>
      </c>
      <c r="BJ9" s="50">
        <f t="shared" si="8"/>
        <v>1682.6429999999998</v>
      </c>
      <c r="BK9" s="50"/>
      <c r="BL9" s="50">
        <v>1682.64</v>
      </c>
      <c r="BM9" s="50">
        <v>325</v>
      </c>
    </row>
    <row r="10" spans="1:66" ht="15" x14ac:dyDescent="0.25">
      <c r="A10" s="62">
        <v>9</v>
      </c>
      <c r="B10" s="62">
        <v>400</v>
      </c>
      <c r="C10" s="62">
        <v>22.36</v>
      </c>
      <c r="D10" s="62">
        <v>21.850999999999999</v>
      </c>
      <c r="E10" s="62">
        <v>21.582000000000001</v>
      </c>
      <c r="F10" s="62">
        <v>20.382999999999999</v>
      </c>
      <c r="G10" s="62">
        <v>20.864000000000001</v>
      </c>
      <c r="H10" s="62">
        <v>22.009</v>
      </c>
      <c r="I10" s="62">
        <v>20.66</v>
      </c>
      <c r="J10" s="62">
        <v>24.905999999999999</v>
      </c>
      <c r="K10" s="62">
        <v>26.152000000000001</v>
      </c>
      <c r="L10" s="62">
        <v>27.260999999999999</v>
      </c>
      <c r="M10" s="62">
        <v>29.242000000000001</v>
      </c>
      <c r="N10" s="62">
        <v>32.515999999999998</v>
      </c>
      <c r="O10" s="62">
        <v>37.567999999999998</v>
      </c>
      <c r="P10" s="62">
        <v>36.908999999999999</v>
      </c>
      <c r="Q10" s="62">
        <v>42.427999999999997</v>
      </c>
      <c r="R10" s="62">
        <v>47.241</v>
      </c>
      <c r="S10" s="62">
        <v>53.465000000000003</v>
      </c>
      <c r="T10" s="62">
        <v>63.031999999999996</v>
      </c>
      <c r="U10" s="62">
        <v>71.847999999999999</v>
      </c>
      <c r="V10" s="62">
        <v>79.236999999999995</v>
      </c>
      <c r="W10" s="62">
        <v>75.381</v>
      </c>
      <c r="X10" s="62">
        <v>87.352000000000004</v>
      </c>
      <c r="Y10" s="62">
        <v>92.117000000000004</v>
      </c>
      <c r="Z10" s="62">
        <v>90.197999999999993</v>
      </c>
      <c r="AA10" s="62">
        <v>92.055999999999997</v>
      </c>
      <c r="AB10" s="62">
        <v>85.209000000000003</v>
      </c>
      <c r="AC10" s="62">
        <v>95.075999999999993</v>
      </c>
      <c r="AD10" s="62">
        <v>93.287000000000006</v>
      </c>
      <c r="AF10" s="50">
        <v>326</v>
      </c>
      <c r="AG10" s="50">
        <v>9</v>
      </c>
      <c r="AH10" s="50"/>
      <c r="AI10" s="50">
        <f>SUMIF($B$2:$B$133,"=326",C$2:C$133)</f>
        <v>106.914</v>
      </c>
      <c r="AJ10" s="50">
        <f t="shared" ref="AJ10:BJ10" si="9">SUMIF($B$2:$B$133,"=326",D$2:D$133)</f>
        <v>107.295</v>
      </c>
      <c r="AK10" s="50">
        <f t="shared" si="9"/>
        <v>109.83799999999999</v>
      </c>
      <c r="AL10" s="50">
        <f t="shared" si="9"/>
        <v>105.58199999999999</v>
      </c>
      <c r="AM10" s="50">
        <f t="shared" si="9"/>
        <v>114.462</v>
      </c>
      <c r="AN10" s="50">
        <f t="shared" si="9"/>
        <v>113.35899999999999</v>
      </c>
      <c r="AO10" s="50">
        <f t="shared" si="9"/>
        <v>118.20399999999999</v>
      </c>
      <c r="AP10" s="50">
        <f t="shared" si="9"/>
        <v>133.35300000000001</v>
      </c>
      <c r="AQ10" s="50">
        <f t="shared" si="9"/>
        <v>133.60400000000001</v>
      </c>
      <c r="AR10" s="50">
        <f t="shared" si="9"/>
        <v>143.50700000000001</v>
      </c>
      <c r="AS10" s="50">
        <f t="shared" si="9"/>
        <v>142.863</v>
      </c>
      <c r="AT10" s="50">
        <f t="shared" si="9"/>
        <v>149.965</v>
      </c>
      <c r="AU10" s="50">
        <f t="shared" si="9"/>
        <v>153.815</v>
      </c>
      <c r="AV10" s="50">
        <f t="shared" si="9"/>
        <v>168.61500000000001</v>
      </c>
      <c r="AW10" s="50">
        <f t="shared" si="9"/>
        <v>202.60300000000001</v>
      </c>
      <c r="AX10" s="50">
        <f t="shared" si="9"/>
        <v>192.88800000000001</v>
      </c>
      <c r="AY10" s="50">
        <f t="shared" si="9"/>
        <v>177.321</v>
      </c>
      <c r="AZ10" s="50">
        <f t="shared" si="9"/>
        <v>162.273</v>
      </c>
      <c r="BA10" s="50">
        <f t="shared" si="9"/>
        <v>166.16</v>
      </c>
      <c r="BB10" s="50">
        <f t="shared" si="9"/>
        <v>189.12100000000001</v>
      </c>
      <c r="BC10" s="50">
        <f t="shared" si="9"/>
        <v>177.24</v>
      </c>
      <c r="BD10" s="50">
        <f t="shared" si="9"/>
        <v>164.92099999999999</v>
      </c>
      <c r="BE10" s="50">
        <f t="shared" si="9"/>
        <v>143.93700000000001</v>
      </c>
      <c r="BF10" s="50">
        <f t="shared" si="9"/>
        <v>138.56399999999999</v>
      </c>
      <c r="BG10" s="50">
        <f t="shared" si="9"/>
        <v>131.744</v>
      </c>
      <c r="BH10" s="50">
        <f t="shared" si="9"/>
        <v>139.148</v>
      </c>
      <c r="BI10" s="50">
        <f t="shared" si="9"/>
        <v>140.756</v>
      </c>
      <c r="BJ10" s="50">
        <f t="shared" si="9"/>
        <v>124.17</v>
      </c>
      <c r="BK10" s="50"/>
      <c r="BL10" s="50">
        <v>124.2</v>
      </c>
      <c r="BM10" s="50">
        <v>326</v>
      </c>
    </row>
    <row r="11" spans="1:66" ht="15" x14ac:dyDescent="0.25">
      <c r="A11" s="62">
        <v>10</v>
      </c>
      <c r="B11" s="62">
        <v>400</v>
      </c>
      <c r="C11" s="62">
        <v>117.569</v>
      </c>
      <c r="D11" s="62">
        <v>118.708</v>
      </c>
      <c r="E11" s="62">
        <v>114.254</v>
      </c>
      <c r="F11" s="62">
        <v>111.38200000000001</v>
      </c>
      <c r="G11" s="62">
        <v>108.684</v>
      </c>
      <c r="H11" s="62">
        <v>105.852</v>
      </c>
      <c r="I11" s="62">
        <v>100.39400000000001</v>
      </c>
      <c r="J11" s="62">
        <v>95.45</v>
      </c>
      <c r="K11" s="62">
        <v>92.778000000000006</v>
      </c>
      <c r="L11" s="62">
        <v>92.194999999999993</v>
      </c>
      <c r="M11" s="62">
        <v>99.13</v>
      </c>
      <c r="N11" s="62">
        <v>104.52800000000001</v>
      </c>
      <c r="O11" s="62">
        <v>112.143</v>
      </c>
      <c r="P11" s="62">
        <v>113.79900000000001</v>
      </c>
      <c r="Q11" s="62">
        <v>118.20099999999999</v>
      </c>
      <c r="R11" s="62">
        <v>129.50299999999999</v>
      </c>
      <c r="S11" s="62">
        <v>138.88499999999999</v>
      </c>
      <c r="T11" s="62">
        <v>146.559</v>
      </c>
      <c r="U11" s="62">
        <v>156.708</v>
      </c>
      <c r="V11" s="62">
        <v>171.52600000000001</v>
      </c>
      <c r="W11" s="62">
        <v>181.90600000000001</v>
      </c>
      <c r="X11" s="62">
        <v>180.214</v>
      </c>
      <c r="Y11" s="62">
        <v>183.346</v>
      </c>
      <c r="Z11" s="62">
        <v>183.84800000000001</v>
      </c>
      <c r="AA11" s="62">
        <v>185.279</v>
      </c>
      <c r="AB11" s="62">
        <v>188.56399999999999</v>
      </c>
      <c r="AC11" s="62">
        <v>184.21</v>
      </c>
      <c r="AD11" s="62">
        <v>180.40899999999999</v>
      </c>
      <c r="AF11" s="50">
        <v>327</v>
      </c>
      <c r="AG11" s="50">
        <v>10</v>
      </c>
      <c r="AH11" s="50"/>
      <c r="AI11" s="50">
        <f>SUMIF($B$2:$B$133,"=327",C$2:C$133)</f>
        <v>893.06799999999998</v>
      </c>
      <c r="AJ11" s="50">
        <f t="shared" ref="AJ11:BJ11" si="10">SUMIF($B$2:$B$133,"=327",D$2:D$133)</f>
        <v>1005.384</v>
      </c>
      <c r="AK11" s="50">
        <f t="shared" si="10"/>
        <v>994.19999999999993</v>
      </c>
      <c r="AL11" s="50">
        <f t="shared" si="10"/>
        <v>945.80899999999997</v>
      </c>
      <c r="AM11" s="50">
        <f t="shared" si="10"/>
        <v>956.41300000000001</v>
      </c>
      <c r="AN11" s="50">
        <f t="shared" si="10"/>
        <v>1008.942</v>
      </c>
      <c r="AO11" s="50">
        <f t="shared" si="10"/>
        <v>1068.181</v>
      </c>
      <c r="AP11" s="50">
        <f t="shared" si="10"/>
        <v>1126.8009999999999</v>
      </c>
      <c r="AQ11" s="50">
        <f t="shared" si="10"/>
        <v>1163.7069999999999</v>
      </c>
      <c r="AR11" s="50">
        <f t="shared" si="10"/>
        <v>1131.319</v>
      </c>
      <c r="AS11" s="50">
        <f t="shared" si="10"/>
        <v>1157.037</v>
      </c>
      <c r="AT11" s="50">
        <f t="shared" si="10"/>
        <v>1180.575</v>
      </c>
      <c r="AU11" s="50">
        <f t="shared" si="10"/>
        <v>1130.8</v>
      </c>
      <c r="AV11" s="50">
        <f t="shared" si="10"/>
        <v>1183.4180000000001</v>
      </c>
      <c r="AW11" s="50">
        <f t="shared" si="10"/>
        <v>1223.6130000000001</v>
      </c>
      <c r="AX11" s="50">
        <f t="shared" si="10"/>
        <v>1173.731</v>
      </c>
      <c r="AY11" s="50">
        <f t="shared" si="10"/>
        <v>1180.029</v>
      </c>
      <c r="AZ11" s="50">
        <f t="shared" si="10"/>
        <v>1047.886</v>
      </c>
      <c r="BA11" s="50">
        <f t="shared" si="10"/>
        <v>1094.931</v>
      </c>
      <c r="BB11" s="50">
        <f t="shared" si="10"/>
        <v>1121.758</v>
      </c>
      <c r="BC11" s="50">
        <f t="shared" si="10"/>
        <v>1135.1320000000001</v>
      </c>
      <c r="BD11" s="50">
        <f t="shared" si="10"/>
        <v>1123.7539999999999</v>
      </c>
      <c r="BE11" s="50">
        <f t="shared" si="10"/>
        <v>996.63300000000004</v>
      </c>
      <c r="BF11" s="50">
        <f t="shared" si="10"/>
        <v>950.66399999999999</v>
      </c>
      <c r="BG11" s="50">
        <f t="shared" si="10"/>
        <v>794.495</v>
      </c>
      <c r="BH11" s="50">
        <f t="shared" si="10"/>
        <v>867.23099999999999</v>
      </c>
      <c r="BI11" s="50">
        <f t="shared" si="10"/>
        <v>877.29299999999989</v>
      </c>
      <c r="BJ11" s="50">
        <f t="shared" si="10"/>
        <v>800.49400000000003</v>
      </c>
      <c r="BK11" s="50"/>
      <c r="BL11" s="50">
        <v>800.5</v>
      </c>
      <c r="BM11" s="50">
        <v>327</v>
      </c>
    </row>
    <row r="12" spans="1:66" ht="15" x14ac:dyDescent="0.25">
      <c r="A12" s="62">
        <v>11</v>
      </c>
      <c r="B12" s="62">
        <v>400</v>
      </c>
      <c r="C12" s="62">
        <v>3.1230000000000002</v>
      </c>
      <c r="D12" s="62">
        <v>5.3109999999999999</v>
      </c>
      <c r="E12" s="62">
        <v>7.6820000000000004</v>
      </c>
      <c r="F12" s="62">
        <v>10.093</v>
      </c>
      <c r="G12" s="62">
        <v>12.805999999999999</v>
      </c>
      <c r="H12" s="62">
        <v>15.885</v>
      </c>
      <c r="I12" s="62">
        <v>16.004999999999999</v>
      </c>
      <c r="J12" s="62">
        <v>15.983000000000001</v>
      </c>
      <c r="K12" s="62">
        <v>16.309000000000001</v>
      </c>
      <c r="L12" s="62">
        <v>16.446999999999999</v>
      </c>
      <c r="M12" s="62">
        <v>16.940000000000001</v>
      </c>
      <c r="N12" s="62">
        <v>17.606000000000002</v>
      </c>
      <c r="O12" s="62">
        <v>17.873999999999999</v>
      </c>
      <c r="P12" s="62">
        <v>17.664999999999999</v>
      </c>
      <c r="Q12" s="62">
        <v>17.119</v>
      </c>
      <c r="R12" s="62">
        <v>19.783999999999999</v>
      </c>
      <c r="S12" s="62">
        <v>21.617000000000001</v>
      </c>
      <c r="T12" s="62">
        <v>22.56</v>
      </c>
      <c r="U12" s="62">
        <v>24.876000000000001</v>
      </c>
      <c r="V12" s="62">
        <v>27.375</v>
      </c>
      <c r="W12" s="62">
        <v>26.978999999999999</v>
      </c>
      <c r="X12" s="62">
        <v>27.591000000000001</v>
      </c>
      <c r="Y12" s="62">
        <v>27.141999999999999</v>
      </c>
      <c r="Z12" s="62">
        <v>26.75</v>
      </c>
      <c r="AA12" s="62">
        <v>24.518999999999998</v>
      </c>
      <c r="AB12" s="62">
        <v>22.311</v>
      </c>
      <c r="AC12" s="62">
        <v>22.431000000000001</v>
      </c>
      <c r="AD12" s="62">
        <v>21.308</v>
      </c>
      <c r="AF12" s="50">
        <v>331</v>
      </c>
      <c r="AG12" s="50">
        <v>11</v>
      </c>
      <c r="AH12" s="50"/>
      <c r="AI12" s="50">
        <f>SUMIF($B$2:$B$133,"=331",C$2:C$133)</f>
        <v>2496.7820000000006</v>
      </c>
      <c r="AJ12" s="50">
        <f t="shared" ref="AJ12:BJ12" si="11">SUMIF($B$2:$B$133,"=331",D$2:D$133)</f>
        <v>2667.7070000000003</v>
      </c>
      <c r="AK12" s="50">
        <f t="shared" si="11"/>
        <v>2866.97</v>
      </c>
      <c r="AL12" s="50">
        <f t="shared" si="11"/>
        <v>2734.0059999999999</v>
      </c>
      <c r="AM12" s="50">
        <f t="shared" si="11"/>
        <v>2844.8420000000006</v>
      </c>
      <c r="AN12" s="50">
        <f t="shared" si="11"/>
        <v>2938.3429999999998</v>
      </c>
      <c r="AO12" s="50">
        <f t="shared" si="11"/>
        <v>3293.4580000000001</v>
      </c>
      <c r="AP12" s="50">
        <f t="shared" si="11"/>
        <v>3443.2130000000002</v>
      </c>
      <c r="AQ12" s="50">
        <f t="shared" si="11"/>
        <v>3509.3870000000002</v>
      </c>
      <c r="AR12" s="50">
        <f t="shared" si="11"/>
        <v>3314.8129999999996</v>
      </c>
      <c r="AS12" s="50">
        <f t="shared" si="11"/>
        <v>3428.1440000000002</v>
      </c>
      <c r="AT12" s="50">
        <f t="shared" si="11"/>
        <v>3683.8119999999999</v>
      </c>
      <c r="AU12" s="50">
        <f t="shared" si="11"/>
        <v>3500.2030000000004</v>
      </c>
      <c r="AV12" s="50">
        <f t="shared" si="11"/>
        <v>3268.058</v>
      </c>
      <c r="AW12" s="50">
        <f t="shared" si="11"/>
        <v>3428.297</v>
      </c>
      <c r="AX12" s="50">
        <f t="shared" si="11"/>
        <v>3723.2270000000003</v>
      </c>
      <c r="AY12" s="50">
        <f t="shared" si="11"/>
        <v>3585.6839999999997</v>
      </c>
      <c r="AZ12" s="50">
        <f t="shared" si="11"/>
        <v>3004.2560000000003</v>
      </c>
      <c r="BA12" s="50">
        <f t="shared" si="11"/>
        <v>3080.8889999999997</v>
      </c>
      <c r="BB12" s="50">
        <f t="shared" si="11"/>
        <v>3029.5459999999998</v>
      </c>
      <c r="BC12" s="50">
        <f t="shared" si="11"/>
        <v>3186.489</v>
      </c>
      <c r="BD12" s="50">
        <f t="shared" si="11"/>
        <v>3218.0230000000001</v>
      </c>
      <c r="BE12" s="50">
        <f t="shared" si="11"/>
        <v>2613.404</v>
      </c>
      <c r="BF12" s="50">
        <f t="shared" si="11"/>
        <v>2593.2039999999997</v>
      </c>
      <c r="BG12" s="50">
        <f t="shared" si="11"/>
        <v>1756.1860000000001</v>
      </c>
      <c r="BH12" s="50">
        <f t="shared" si="11"/>
        <v>1930.2429999999999</v>
      </c>
      <c r="BI12" s="50">
        <f t="shared" si="11"/>
        <v>1930.7450000000001</v>
      </c>
      <c r="BJ12" s="50">
        <f t="shared" si="11"/>
        <v>1749.29</v>
      </c>
      <c r="BK12" s="50"/>
      <c r="BL12" s="50">
        <v>1881.41</v>
      </c>
      <c r="BM12" s="50">
        <v>331</v>
      </c>
    </row>
    <row r="13" spans="1:66" ht="15" x14ac:dyDescent="0.25">
      <c r="A13" s="62">
        <v>12</v>
      </c>
      <c r="B13" s="62">
        <v>400</v>
      </c>
      <c r="C13" s="62">
        <v>34.085999999999999</v>
      </c>
      <c r="D13" s="62">
        <v>35.389000000000003</v>
      </c>
      <c r="E13" s="62">
        <v>35.728999999999999</v>
      </c>
      <c r="F13" s="62">
        <v>35.040999999999997</v>
      </c>
      <c r="G13" s="62">
        <v>34.572000000000003</v>
      </c>
      <c r="H13" s="62">
        <v>34.247999999999998</v>
      </c>
      <c r="I13" s="62">
        <v>37.270000000000003</v>
      </c>
      <c r="J13" s="62">
        <v>40.173999999999999</v>
      </c>
      <c r="K13" s="62">
        <v>44.311999999999998</v>
      </c>
      <c r="L13" s="62">
        <v>48.363999999999997</v>
      </c>
      <c r="M13" s="62">
        <v>53.087000000000003</v>
      </c>
      <c r="N13" s="62">
        <v>58.793999999999997</v>
      </c>
      <c r="O13" s="62">
        <v>63.64</v>
      </c>
      <c r="P13" s="62">
        <v>67.091999999999999</v>
      </c>
      <c r="Q13" s="62">
        <v>69.403999999999996</v>
      </c>
      <c r="R13" s="62">
        <v>79.525999999999996</v>
      </c>
      <c r="S13" s="62">
        <v>86.566999999999993</v>
      </c>
      <c r="T13" s="62">
        <v>90.012</v>
      </c>
      <c r="U13" s="62">
        <v>98.984999999999999</v>
      </c>
      <c r="V13" s="62">
        <v>108.654</v>
      </c>
      <c r="W13" s="62">
        <v>109.03</v>
      </c>
      <c r="X13" s="62">
        <v>113.77200000000001</v>
      </c>
      <c r="Y13" s="62">
        <v>114.164</v>
      </c>
      <c r="Z13" s="62">
        <v>114.627</v>
      </c>
      <c r="AA13" s="62">
        <v>107.08799999999999</v>
      </c>
      <c r="AB13" s="62">
        <v>100.245</v>
      </c>
      <c r="AC13" s="62">
        <v>103.41500000000001</v>
      </c>
      <c r="AD13" s="62">
        <v>101.361</v>
      </c>
      <c r="AF13" s="50">
        <v>332</v>
      </c>
      <c r="AG13" s="50">
        <v>12</v>
      </c>
      <c r="AH13" s="50"/>
      <c r="AI13" s="50">
        <f>SUMIF($B$2:$B$133,"=332",C$2:C$133)</f>
        <v>213.43299999999999</v>
      </c>
      <c r="AJ13" s="50">
        <f t="shared" ref="AJ13:BJ13" si="12">SUMIF($B$2:$B$133,"=332",D$2:D$133)</f>
        <v>216.18799999999999</v>
      </c>
      <c r="AK13" s="50">
        <f t="shared" si="12"/>
        <v>212.52900000000002</v>
      </c>
      <c r="AL13" s="50">
        <f t="shared" si="12"/>
        <v>200.39699999999999</v>
      </c>
      <c r="AM13" s="50">
        <f t="shared" si="12"/>
        <v>230.68400000000003</v>
      </c>
      <c r="AN13" s="50">
        <f t="shared" si="12"/>
        <v>215.23900000000003</v>
      </c>
      <c r="AO13" s="50">
        <f t="shared" si="12"/>
        <v>240.404</v>
      </c>
      <c r="AP13" s="50">
        <f t="shared" si="12"/>
        <v>255.286</v>
      </c>
      <c r="AQ13" s="50">
        <f t="shared" si="12"/>
        <v>294.16199999999998</v>
      </c>
      <c r="AR13" s="50">
        <f t="shared" si="12"/>
        <v>330.31399999999996</v>
      </c>
      <c r="AS13" s="50">
        <f t="shared" si="12"/>
        <v>351.35999999999996</v>
      </c>
      <c r="AT13" s="50">
        <f t="shared" si="12"/>
        <v>350.91</v>
      </c>
      <c r="AU13" s="50">
        <f t="shared" si="12"/>
        <v>352.20100000000002</v>
      </c>
      <c r="AV13" s="50">
        <f t="shared" si="12"/>
        <v>338.04899999999998</v>
      </c>
      <c r="AW13" s="50">
        <f t="shared" si="12"/>
        <v>351.06400000000002</v>
      </c>
      <c r="AX13" s="50">
        <f t="shared" si="12"/>
        <v>332.52699999999999</v>
      </c>
      <c r="AY13" s="50">
        <f t="shared" si="12"/>
        <v>299.91999999999996</v>
      </c>
      <c r="AZ13" s="50">
        <f t="shared" si="12"/>
        <v>281.43400000000003</v>
      </c>
      <c r="BA13" s="50">
        <f t="shared" si="12"/>
        <v>283.89699999999999</v>
      </c>
      <c r="BB13" s="50">
        <f t="shared" si="12"/>
        <v>283.64800000000002</v>
      </c>
      <c r="BC13" s="50">
        <f t="shared" si="12"/>
        <v>293.44200000000001</v>
      </c>
      <c r="BD13" s="50">
        <f t="shared" si="12"/>
        <v>283.54999999999995</v>
      </c>
      <c r="BE13" s="50">
        <f t="shared" si="12"/>
        <v>263.34000000000003</v>
      </c>
      <c r="BF13" s="50">
        <f t="shared" si="12"/>
        <v>253.678</v>
      </c>
      <c r="BG13" s="50">
        <f t="shared" si="12"/>
        <v>250.36500000000001</v>
      </c>
      <c r="BH13" s="50">
        <f t="shared" si="12"/>
        <v>250.6</v>
      </c>
      <c r="BI13" s="50">
        <f t="shared" si="12"/>
        <v>250.17000000000002</v>
      </c>
      <c r="BJ13" s="50">
        <f t="shared" si="12"/>
        <v>217.94100000000003</v>
      </c>
      <c r="BK13" s="50"/>
      <c r="BL13" s="50">
        <v>217.93100000000001</v>
      </c>
      <c r="BM13" s="50">
        <v>332</v>
      </c>
    </row>
    <row r="14" spans="1:66" ht="15" x14ac:dyDescent="0.25">
      <c r="A14" s="62">
        <v>13</v>
      </c>
      <c r="B14" s="62">
        <v>400</v>
      </c>
      <c r="C14" s="62">
        <v>74.198999999999998</v>
      </c>
      <c r="D14" s="62">
        <v>81.831999999999994</v>
      </c>
      <c r="E14" s="62">
        <v>84.456999999999994</v>
      </c>
      <c r="F14" s="62">
        <v>87.203999999999994</v>
      </c>
      <c r="G14" s="62">
        <v>91.876999999999995</v>
      </c>
      <c r="H14" s="62">
        <v>97.847999999999999</v>
      </c>
      <c r="I14" s="62">
        <v>106.21299999999999</v>
      </c>
      <c r="J14" s="62">
        <v>114.967</v>
      </c>
      <c r="K14" s="62">
        <v>121.59</v>
      </c>
      <c r="L14" s="62">
        <v>120.123</v>
      </c>
      <c r="M14" s="62">
        <v>126.639</v>
      </c>
      <c r="N14" s="62">
        <v>131.41200000000001</v>
      </c>
      <c r="O14" s="62">
        <v>135.952</v>
      </c>
      <c r="P14" s="62">
        <v>138.83000000000001</v>
      </c>
      <c r="Q14" s="62">
        <v>145.71700000000001</v>
      </c>
      <c r="R14" s="62">
        <v>155.13300000000001</v>
      </c>
      <c r="S14" s="62">
        <v>142.922</v>
      </c>
      <c r="T14" s="62">
        <v>117.669</v>
      </c>
      <c r="U14" s="62">
        <v>118.839</v>
      </c>
      <c r="V14" s="62">
        <v>119.595</v>
      </c>
      <c r="W14" s="62">
        <v>127.16500000000001</v>
      </c>
      <c r="X14" s="62">
        <v>127.313</v>
      </c>
      <c r="Y14" s="62">
        <v>108.6</v>
      </c>
      <c r="Z14" s="62">
        <v>96.463999999999999</v>
      </c>
      <c r="AA14" s="62">
        <v>83.456000000000003</v>
      </c>
      <c r="AB14" s="62">
        <v>90.558000000000007</v>
      </c>
      <c r="AC14" s="62">
        <v>82.628</v>
      </c>
      <c r="AD14" s="62">
        <v>85.91</v>
      </c>
      <c r="AF14" s="50">
        <v>333</v>
      </c>
      <c r="AG14" s="50">
        <v>13</v>
      </c>
      <c r="AH14" s="50"/>
      <c r="AI14" s="50">
        <f>SUMIF($B$2:$B$133,"=333",C$2:C$133)</f>
        <v>181.27199999999999</v>
      </c>
      <c r="AJ14" s="50">
        <f t="shared" ref="AJ14:BJ14" si="13">SUMIF($B$2:$B$133,"=333",D$2:D$133)</f>
        <v>182.80800000000002</v>
      </c>
      <c r="AK14" s="50">
        <f t="shared" si="13"/>
        <v>184.34100000000001</v>
      </c>
      <c r="AL14" s="50">
        <f t="shared" si="13"/>
        <v>179.92200000000003</v>
      </c>
      <c r="AM14" s="50">
        <f t="shared" si="13"/>
        <v>198.39500000000001</v>
      </c>
      <c r="AN14" s="50">
        <f t="shared" si="13"/>
        <v>194.41000000000003</v>
      </c>
      <c r="AO14" s="50">
        <f t="shared" si="13"/>
        <v>214.54999999999998</v>
      </c>
      <c r="AP14" s="50">
        <f t="shared" si="13"/>
        <v>220.148</v>
      </c>
      <c r="AQ14" s="50">
        <f t="shared" si="13"/>
        <v>233.87699999999995</v>
      </c>
      <c r="AR14" s="50">
        <f t="shared" si="13"/>
        <v>271.226</v>
      </c>
      <c r="AS14" s="50">
        <f t="shared" si="13"/>
        <v>261.94799999999998</v>
      </c>
      <c r="AT14" s="50">
        <f t="shared" si="13"/>
        <v>273.96300000000002</v>
      </c>
      <c r="AU14" s="50">
        <f t="shared" si="13"/>
        <v>283.69899999999996</v>
      </c>
      <c r="AV14" s="50">
        <f t="shared" si="13"/>
        <v>289.54200000000003</v>
      </c>
      <c r="AW14" s="50">
        <f t="shared" si="13"/>
        <v>301.60399999999993</v>
      </c>
      <c r="AX14" s="50">
        <f t="shared" si="13"/>
        <v>291.31099999999998</v>
      </c>
      <c r="AY14" s="50">
        <f t="shared" si="13"/>
        <v>276.55500000000001</v>
      </c>
      <c r="AZ14" s="50">
        <f t="shared" si="13"/>
        <v>253.18</v>
      </c>
      <c r="BA14" s="50">
        <f t="shared" si="13"/>
        <v>248.88</v>
      </c>
      <c r="BB14" s="50">
        <f t="shared" si="13"/>
        <v>247.09899999999999</v>
      </c>
      <c r="BC14" s="50">
        <f t="shared" si="13"/>
        <v>255.14699999999999</v>
      </c>
      <c r="BD14" s="50">
        <f t="shared" si="13"/>
        <v>258.47400000000005</v>
      </c>
      <c r="BE14" s="50">
        <f t="shared" si="13"/>
        <v>243.15600000000001</v>
      </c>
      <c r="BF14" s="50">
        <f t="shared" si="13"/>
        <v>228.27199999999999</v>
      </c>
      <c r="BG14" s="50">
        <f t="shared" si="13"/>
        <v>223.73099999999999</v>
      </c>
      <c r="BH14" s="50">
        <f t="shared" si="13"/>
        <v>215.297</v>
      </c>
      <c r="BI14" s="50">
        <f t="shared" si="13"/>
        <v>213.18100000000004</v>
      </c>
      <c r="BJ14" s="50">
        <f t="shared" si="13"/>
        <v>182.15299999999999</v>
      </c>
      <c r="BK14" s="50"/>
      <c r="BL14" s="50">
        <v>182.148</v>
      </c>
      <c r="BM14" s="50">
        <v>333</v>
      </c>
    </row>
    <row r="15" spans="1:66" ht="15" x14ac:dyDescent="0.25">
      <c r="A15" s="62">
        <v>14</v>
      </c>
      <c r="B15" s="62">
        <v>400</v>
      </c>
      <c r="C15" s="62">
        <v>79.652000000000001</v>
      </c>
      <c r="D15" s="62">
        <v>85.908000000000001</v>
      </c>
      <c r="E15" s="62">
        <v>85.16</v>
      </c>
      <c r="F15" s="62">
        <v>82.954999999999998</v>
      </c>
      <c r="G15" s="62">
        <v>80.287999999999997</v>
      </c>
      <c r="H15" s="62">
        <v>81.013999999999996</v>
      </c>
      <c r="I15" s="62">
        <v>91.245000000000005</v>
      </c>
      <c r="J15" s="62">
        <v>103.22799999999999</v>
      </c>
      <c r="K15" s="62">
        <v>115.15300000000001</v>
      </c>
      <c r="L15" s="62">
        <v>117.154</v>
      </c>
      <c r="M15" s="62">
        <v>111.848</v>
      </c>
      <c r="N15" s="62">
        <v>110.461</v>
      </c>
      <c r="O15" s="62">
        <v>111.354</v>
      </c>
      <c r="P15" s="62">
        <v>110.047</v>
      </c>
      <c r="Q15" s="62">
        <v>116.25</v>
      </c>
      <c r="R15" s="62">
        <v>122.468</v>
      </c>
      <c r="S15" s="62">
        <v>132.81399999999999</v>
      </c>
      <c r="T15" s="62">
        <v>133.697</v>
      </c>
      <c r="U15" s="62">
        <v>143.12200000000001</v>
      </c>
      <c r="V15" s="62">
        <v>157.32900000000001</v>
      </c>
      <c r="W15" s="62">
        <v>159.34899999999999</v>
      </c>
      <c r="X15" s="62">
        <v>178.60499999999999</v>
      </c>
      <c r="Y15" s="62">
        <v>178.22</v>
      </c>
      <c r="Z15" s="62">
        <v>167.49799999999999</v>
      </c>
      <c r="AA15" s="62">
        <v>131.285</v>
      </c>
      <c r="AB15" s="62">
        <v>141.27099999999999</v>
      </c>
      <c r="AC15" s="62">
        <v>145.61799999999999</v>
      </c>
      <c r="AD15" s="62">
        <v>131.37700000000001</v>
      </c>
      <c r="AF15" s="50">
        <v>334</v>
      </c>
      <c r="AG15" s="50">
        <v>14</v>
      </c>
      <c r="AH15" s="50"/>
      <c r="AI15" s="50">
        <f>SUMIF($B$2:$B$133,"=334",C$2:C$133)</f>
        <v>49.243000000000002</v>
      </c>
      <c r="AJ15" s="50">
        <f t="shared" ref="AJ15:BJ15" si="14">SUMIF($B$2:$B$133,"=334",D$2:D$133)</f>
        <v>51.568999999999996</v>
      </c>
      <c r="AK15" s="50">
        <f t="shared" si="14"/>
        <v>55.183</v>
      </c>
      <c r="AL15" s="50">
        <f t="shared" si="14"/>
        <v>55.519999999999996</v>
      </c>
      <c r="AM15" s="50">
        <f t="shared" si="14"/>
        <v>63.212000000000003</v>
      </c>
      <c r="AN15" s="50">
        <f t="shared" si="14"/>
        <v>63.677</v>
      </c>
      <c r="AO15" s="50">
        <f t="shared" si="14"/>
        <v>67.975999999999999</v>
      </c>
      <c r="AP15" s="50">
        <f t="shared" si="14"/>
        <v>75.415999999999997</v>
      </c>
      <c r="AQ15" s="50">
        <f t="shared" si="14"/>
        <v>82.183999999999983</v>
      </c>
      <c r="AR15" s="50">
        <f t="shared" si="14"/>
        <v>90.97699999999999</v>
      </c>
      <c r="AS15" s="50">
        <f t="shared" si="14"/>
        <v>91.291000000000011</v>
      </c>
      <c r="AT15" s="50">
        <f t="shared" si="14"/>
        <v>98.528000000000006</v>
      </c>
      <c r="AU15" s="50">
        <f t="shared" si="14"/>
        <v>102.867</v>
      </c>
      <c r="AV15" s="50">
        <f t="shared" si="14"/>
        <v>104.08199999999999</v>
      </c>
      <c r="AW15" s="50">
        <f t="shared" si="14"/>
        <v>102.52799999999999</v>
      </c>
      <c r="AX15" s="50">
        <f t="shared" si="14"/>
        <v>89.157000000000011</v>
      </c>
      <c r="AY15" s="50">
        <f t="shared" si="14"/>
        <v>75.045999999999992</v>
      </c>
      <c r="AZ15" s="50">
        <f t="shared" si="14"/>
        <v>75.716000000000008</v>
      </c>
      <c r="BA15" s="50">
        <f t="shared" si="14"/>
        <v>75.249000000000009</v>
      </c>
      <c r="BB15" s="50">
        <f t="shared" si="14"/>
        <v>77.572000000000003</v>
      </c>
      <c r="BC15" s="50">
        <f t="shared" si="14"/>
        <v>83.158999999999992</v>
      </c>
      <c r="BD15" s="50">
        <f t="shared" si="14"/>
        <v>78.078000000000003</v>
      </c>
      <c r="BE15" s="50">
        <f t="shared" si="14"/>
        <v>77.676999999999992</v>
      </c>
      <c r="BF15" s="50">
        <f t="shared" si="14"/>
        <v>74.290000000000006</v>
      </c>
      <c r="BG15" s="50">
        <f t="shared" si="14"/>
        <v>82.95</v>
      </c>
      <c r="BH15" s="50">
        <f t="shared" si="14"/>
        <v>84.315000000000012</v>
      </c>
      <c r="BI15" s="50">
        <f t="shared" si="14"/>
        <v>85.218000000000004</v>
      </c>
      <c r="BJ15" s="50">
        <f t="shared" si="14"/>
        <v>82.200999999999993</v>
      </c>
      <c r="BK15" s="50"/>
      <c r="BL15" s="50">
        <v>82.199999999999989</v>
      </c>
      <c r="BM15" s="50">
        <v>334</v>
      </c>
    </row>
    <row r="16" spans="1:66" ht="15" x14ac:dyDescent="0.25">
      <c r="A16" s="62">
        <v>15</v>
      </c>
      <c r="B16" s="62">
        <v>400</v>
      </c>
      <c r="C16" s="62">
        <v>117.773</v>
      </c>
      <c r="D16" s="62">
        <v>119.101</v>
      </c>
      <c r="E16" s="62">
        <v>109.735</v>
      </c>
      <c r="F16" s="62">
        <v>109.319</v>
      </c>
      <c r="G16" s="62">
        <v>112.58799999999999</v>
      </c>
      <c r="H16" s="62">
        <v>104.273</v>
      </c>
      <c r="I16" s="62">
        <v>106.011</v>
      </c>
      <c r="J16" s="62">
        <v>98.986999999999995</v>
      </c>
      <c r="K16" s="62">
        <v>88.599000000000004</v>
      </c>
      <c r="L16" s="62">
        <v>79.349000000000004</v>
      </c>
      <c r="M16" s="62">
        <v>80.274000000000001</v>
      </c>
      <c r="N16" s="62">
        <v>84.72</v>
      </c>
      <c r="O16" s="62">
        <v>79.72</v>
      </c>
      <c r="P16" s="62">
        <v>74.004000000000005</v>
      </c>
      <c r="Q16" s="62">
        <v>80.938000000000002</v>
      </c>
      <c r="R16" s="62">
        <v>79.108000000000004</v>
      </c>
      <c r="S16" s="62">
        <v>85.676000000000002</v>
      </c>
      <c r="T16" s="62">
        <v>91.721999999999994</v>
      </c>
      <c r="U16" s="62">
        <v>88.751999999999995</v>
      </c>
      <c r="V16" s="62">
        <v>91.686000000000007</v>
      </c>
      <c r="W16" s="62">
        <v>100.07299999999999</v>
      </c>
      <c r="X16" s="62">
        <v>103.596</v>
      </c>
      <c r="Y16" s="62">
        <v>130.08000000000001</v>
      </c>
      <c r="Z16" s="62">
        <v>169.196</v>
      </c>
      <c r="AA16" s="62">
        <v>154.94300000000001</v>
      </c>
      <c r="AB16" s="62">
        <v>137.453</v>
      </c>
      <c r="AC16" s="62">
        <v>162.92400000000001</v>
      </c>
      <c r="AD16" s="62">
        <v>145.072</v>
      </c>
      <c r="AF16" s="50">
        <v>335</v>
      </c>
      <c r="AG16" s="50">
        <v>15</v>
      </c>
      <c r="AH16" s="50"/>
      <c r="AI16" s="50">
        <f>SUMIF($B$2:$B$133,"=335",C$2:C$133)</f>
        <v>84.885000000000005</v>
      </c>
      <c r="AJ16" s="50">
        <f t="shared" ref="AJ16:BJ16" si="15">SUMIF($B$2:$B$133,"=335",D$2:D$133)</f>
        <v>86.061999999999998</v>
      </c>
      <c r="AK16" s="50">
        <f t="shared" si="15"/>
        <v>87.450999999999993</v>
      </c>
      <c r="AL16" s="50">
        <f t="shared" si="15"/>
        <v>80.998999999999995</v>
      </c>
      <c r="AM16" s="50">
        <f t="shared" si="15"/>
        <v>86.876999999999995</v>
      </c>
      <c r="AN16" s="50">
        <f t="shared" si="15"/>
        <v>89.977000000000004</v>
      </c>
      <c r="AO16" s="50">
        <f t="shared" si="15"/>
        <v>92.292999999999992</v>
      </c>
      <c r="AP16" s="50">
        <f t="shared" si="15"/>
        <v>99.384999999999991</v>
      </c>
      <c r="AQ16" s="50">
        <f t="shared" si="15"/>
        <v>106.944</v>
      </c>
      <c r="AR16" s="50">
        <f t="shared" si="15"/>
        <v>116.1</v>
      </c>
      <c r="AS16" s="50">
        <f t="shared" si="15"/>
        <v>118.40599999999999</v>
      </c>
      <c r="AT16" s="50">
        <f t="shared" si="15"/>
        <v>121.46599999999999</v>
      </c>
      <c r="AU16" s="50">
        <f t="shared" si="15"/>
        <v>118.36</v>
      </c>
      <c r="AV16" s="50">
        <f t="shared" si="15"/>
        <v>117.557</v>
      </c>
      <c r="AW16" s="50">
        <f t="shared" si="15"/>
        <v>123.46999999999998</v>
      </c>
      <c r="AX16" s="50">
        <f t="shared" si="15"/>
        <v>120.851</v>
      </c>
      <c r="AY16" s="50">
        <f t="shared" si="15"/>
        <v>107.24499999999999</v>
      </c>
      <c r="AZ16" s="50">
        <f t="shared" si="15"/>
        <v>92.859000000000009</v>
      </c>
      <c r="BA16" s="50">
        <f t="shared" si="15"/>
        <v>98.213000000000008</v>
      </c>
      <c r="BB16" s="50">
        <f t="shared" si="15"/>
        <v>99.253</v>
      </c>
      <c r="BC16" s="50">
        <f t="shared" si="15"/>
        <v>101.03100000000001</v>
      </c>
      <c r="BD16" s="50">
        <f t="shared" si="15"/>
        <v>101.43899999999999</v>
      </c>
      <c r="BE16" s="50">
        <f t="shared" si="15"/>
        <v>92.129000000000005</v>
      </c>
      <c r="BF16" s="50">
        <f t="shared" si="15"/>
        <v>87.584000000000003</v>
      </c>
      <c r="BG16" s="50">
        <f t="shared" si="15"/>
        <v>83.053000000000011</v>
      </c>
      <c r="BH16" s="50">
        <f t="shared" si="15"/>
        <v>87.067000000000007</v>
      </c>
      <c r="BI16" s="50">
        <f t="shared" si="15"/>
        <v>84.655999999999992</v>
      </c>
      <c r="BJ16" s="50">
        <f t="shared" si="15"/>
        <v>74.387</v>
      </c>
      <c r="BK16" s="50"/>
      <c r="BL16" s="50">
        <v>74.39</v>
      </c>
      <c r="BM16" s="50">
        <v>335</v>
      </c>
    </row>
    <row r="17" spans="1:65" ht="15" x14ac:dyDescent="0.25">
      <c r="A17" s="62">
        <v>16</v>
      </c>
      <c r="B17" s="62">
        <v>400</v>
      </c>
      <c r="C17" s="62">
        <v>138.322</v>
      </c>
      <c r="D17" s="62">
        <v>158.565</v>
      </c>
      <c r="E17" s="62">
        <v>149.631</v>
      </c>
      <c r="F17" s="62">
        <v>152.321</v>
      </c>
      <c r="G17" s="62">
        <v>162.386</v>
      </c>
      <c r="H17" s="62">
        <v>163.07</v>
      </c>
      <c r="I17" s="62">
        <v>165.80600000000001</v>
      </c>
      <c r="J17" s="62">
        <v>177.71899999999999</v>
      </c>
      <c r="K17" s="62">
        <v>177.374</v>
      </c>
      <c r="L17" s="62">
        <v>173.679</v>
      </c>
      <c r="M17" s="62">
        <v>186.374</v>
      </c>
      <c r="N17" s="62">
        <v>188.86799999999999</v>
      </c>
      <c r="O17" s="62">
        <v>183.80699999999999</v>
      </c>
      <c r="P17" s="62">
        <v>199.40799999999999</v>
      </c>
      <c r="Q17" s="62">
        <v>210.298</v>
      </c>
      <c r="R17" s="62">
        <v>217.28</v>
      </c>
      <c r="S17" s="62">
        <v>187.96</v>
      </c>
      <c r="T17" s="62">
        <v>163.94800000000001</v>
      </c>
      <c r="U17" s="62">
        <v>181.887</v>
      </c>
      <c r="V17" s="62">
        <v>193.64500000000001</v>
      </c>
      <c r="W17" s="62">
        <v>193.916</v>
      </c>
      <c r="X17" s="62">
        <v>171.93899999999999</v>
      </c>
      <c r="Y17" s="62">
        <v>149.577</v>
      </c>
      <c r="Z17" s="62">
        <v>129.035</v>
      </c>
      <c r="AA17" s="62">
        <v>113.706</v>
      </c>
      <c r="AB17" s="62">
        <v>117.526</v>
      </c>
      <c r="AC17" s="62">
        <v>140.66300000000001</v>
      </c>
      <c r="AD17" s="62">
        <v>139.667</v>
      </c>
      <c r="AF17" s="50">
        <v>336</v>
      </c>
      <c r="AG17" s="50">
        <v>16</v>
      </c>
      <c r="AH17" s="50"/>
      <c r="AI17" s="50">
        <f>SUMIF($B$2:$B$133,"=336",C$2:C$133)</f>
        <v>210.75399999999999</v>
      </c>
      <c r="AJ17" s="50">
        <f t="shared" ref="AJ17:BJ17" si="16">SUMIF($B$2:$B$133,"=336",D$2:D$133)</f>
        <v>211.25899999999999</v>
      </c>
      <c r="AK17" s="50">
        <f t="shared" si="16"/>
        <v>220.85899999999998</v>
      </c>
      <c r="AL17" s="50">
        <f t="shared" si="16"/>
        <v>220.34299999999999</v>
      </c>
      <c r="AM17" s="50">
        <f t="shared" si="16"/>
        <v>229.11800000000002</v>
      </c>
      <c r="AN17" s="50">
        <f t="shared" si="16"/>
        <v>226.619</v>
      </c>
      <c r="AO17" s="50">
        <f t="shared" si="16"/>
        <v>249.352</v>
      </c>
      <c r="AP17" s="50">
        <f t="shared" si="16"/>
        <v>256.529</v>
      </c>
      <c r="AQ17" s="50">
        <f t="shared" si="16"/>
        <v>261.76100000000002</v>
      </c>
      <c r="AR17" s="50">
        <f t="shared" si="16"/>
        <v>268.65300000000002</v>
      </c>
      <c r="AS17" s="50">
        <f t="shared" si="16"/>
        <v>284.12</v>
      </c>
      <c r="AT17" s="50">
        <f t="shared" si="16"/>
        <v>279.774</v>
      </c>
      <c r="AU17" s="50">
        <f t="shared" si="16"/>
        <v>266.45600000000002</v>
      </c>
      <c r="AV17" s="50">
        <f t="shared" si="16"/>
        <v>279.03300000000002</v>
      </c>
      <c r="AW17" s="50">
        <f t="shared" si="16"/>
        <v>285.73</v>
      </c>
      <c r="AX17" s="50">
        <f t="shared" si="16"/>
        <v>267.85900000000004</v>
      </c>
      <c r="AY17" s="50">
        <f t="shared" si="16"/>
        <v>254.50400000000002</v>
      </c>
      <c r="AZ17" s="50">
        <f t="shared" si="16"/>
        <v>239.07300000000001</v>
      </c>
      <c r="BA17" s="50">
        <f t="shared" si="16"/>
        <v>262.28500000000003</v>
      </c>
      <c r="BB17" s="50">
        <f t="shared" si="16"/>
        <v>260.81200000000001</v>
      </c>
      <c r="BC17" s="50">
        <f t="shared" si="16"/>
        <v>269.23400000000004</v>
      </c>
      <c r="BD17" s="50">
        <f t="shared" si="16"/>
        <v>254.19799999999998</v>
      </c>
      <c r="BE17" s="50">
        <f t="shared" si="16"/>
        <v>221.88100000000003</v>
      </c>
      <c r="BF17" s="50">
        <f t="shared" si="16"/>
        <v>209.71600000000001</v>
      </c>
      <c r="BG17" s="50">
        <f t="shared" si="16"/>
        <v>193.49799999999999</v>
      </c>
      <c r="BH17" s="50">
        <f t="shared" si="16"/>
        <v>216.91</v>
      </c>
      <c r="BI17" s="50">
        <f t="shared" si="16"/>
        <v>215.756</v>
      </c>
      <c r="BJ17" s="50">
        <f t="shared" si="16"/>
        <v>197.72199999999998</v>
      </c>
      <c r="BK17" s="50"/>
      <c r="BL17" s="50">
        <v>197.74600000000001</v>
      </c>
      <c r="BM17" s="50">
        <v>336</v>
      </c>
    </row>
    <row r="18" spans="1:65" ht="15" x14ac:dyDescent="0.25">
      <c r="A18" s="62">
        <v>17</v>
      </c>
      <c r="B18" s="62">
        <v>400</v>
      </c>
      <c r="C18" s="62">
        <v>22.093</v>
      </c>
      <c r="D18" s="62">
        <v>24.422999999999998</v>
      </c>
      <c r="E18" s="62">
        <v>25.998999999999999</v>
      </c>
      <c r="F18" s="62">
        <v>26.315999999999999</v>
      </c>
      <c r="G18" s="62">
        <v>25.111000000000001</v>
      </c>
      <c r="H18" s="62">
        <v>25.797999999999998</v>
      </c>
      <c r="I18" s="62">
        <v>25.651</v>
      </c>
      <c r="J18" s="62">
        <v>25.122</v>
      </c>
      <c r="K18" s="62">
        <v>26.492999999999999</v>
      </c>
      <c r="L18" s="62">
        <v>26.905999999999999</v>
      </c>
      <c r="M18" s="62">
        <v>25.594000000000001</v>
      </c>
      <c r="N18" s="62">
        <v>26.010999999999999</v>
      </c>
      <c r="O18" s="62">
        <v>27.027000000000001</v>
      </c>
      <c r="P18" s="62">
        <v>26.681000000000001</v>
      </c>
      <c r="Q18" s="62">
        <v>26.731000000000002</v>
      </c>
      <c r="R18" s="62">
        <v>25.702000000000002</v>
      </c>
      <c r="S18" s="62">
        <v>25.536999999999999</v>
      </c>
      <c r="T18" s="62">
        <v>29</v>
      </c>
      <c r="U18" s="62">
        <v>31.622</v>
      </c>
      <c r="V18" s="62">
        <v>34.017000000000003</v>
      </c>
      <c r="W18" s="62">
        <v>33.442999999999998</v>
      </c>
      <c r="X18" s="62">
        <v>32.82</v>
      </c>
      <c r="Y18" s="62">
        <v>33.143000000000001</v>
      </c>
      <c r="Z18" s="62">
        <v>28.48</v>
      </c>
      <c r="AA18" s="62">
        <v>23.396000000000001</v>
      </c>
      <c r="AB18" s="62">
        <v>24.004000000000001</v>
      </c>
      <c r="AC18" s="62">
        <v>26.853999999999999</v>
      </c>
      <c r="AD18" s="62">
        <v>29.289000000000001</v>
      </c>
      <c r="AF18" s="50">
        <v>337</v>
      </c>
      <c r="AG18" s="50">
        <v>17</v>
      </c>
      <c r="AH18" s="50"/>
      <c r="AI18" s="50">
        <f>SUMIF($B$2:$B$133,"=337",C$2:C$133)</f>
        <v>27.143000000000001</v>
      </c>
      <c r="AJ18" s="50">
        <f t="shared" ref="AJ18:BJ18" si="17">SUMIF($B$2:$B$133,"=337",D$2:D$133)</f>
        <v>24.302</v>
      </c>
      <c r="AK18" s="50">
        <f t="shared" si="17"/>
        <v>23.771999999999998</v>
      </c>
      <c r="AL18" s="50">
        <f t="shared" si="17"/>
        <v>21.902999999999999</v>
      </c>
      <c r="AM18" s="50">
        <f t="shared" si="17"/>
        <v>24.824999999999999</v>
      </c>
      <c r="AN18" s="50">
        <f t="shared" si="17"/>
        <v>24.469000000000001</v>
      </c>
      <c r="AO18" s="50">
        <f t="shared" si="17"/>
        <v>27.106000000000002</v>
      </c>
      <c r="AP18" s="50">
        <f t="shared" si="17"/>
        <v>30.491999999999997</v>
      </c>
      <c r="AQ18" s="50">
        <f t="shared" si="17"/>
        <v>33.865000000000002</v>
      </c>
      <c r="AR18" s="50">
        <f t="shared" si="17"/>
        <v>38.168999999999997</v>
      </c>
      <c r="AS18" s="50">
        <f t="shared" si="17"/>
        <v>34.268000000000001</v>
      </c>
      <c r="AT18" s="50">
        <f t="shared" si="17"/>
        <v>33.003</v>
      </c>
      <c r="AU18" s="50">
        <f t="shared" si="17"/>
        <v>36.542000000000002</v>
      </c>
      <c r="AV18" s="50">
        <f t="shared" si="17"/>
        <v>40.512</v>
      </c>
      <c r="AW18" s="50">
        <f t="shared" si="17"/>
        <v>45.897999999999996</v>
      </c>
      <c r="AX18" s="50">
        <f t="shared" si="17"/>
        <v>38.832000000000001</v>
      </c>
      <c r="AY18" s="50">
        <f t="shared" si="17"/>
        <v>40.097999999999999</v>
      </c>
      <c r="AZ18" s="50">
        <f t="shared" si="17"/>
        <v>33.162999999999997</v>
      </c>
      <c r="BA18" s="50">
        <f t="shared" si="17"/>
        <v>32.265000000000001</v>
      </c>
      <c r="BB18" s="50">
        <f t="shared" si="17"/>
        <v>35.975000000000001</v>
      </c>
      <c r="BC18" s="50">
        <f t="shared" si="17"/>
        <v>37.741</v>
      </c>
      <c r="BD18" s="50">
        <f t="shared" si="17"/>
        <v>35.497999999999998</v>
      </c>
      <c r="BE18" s="50">
        <f t="shared" si="17"/>
        <v>32.052999999999997</v>
      </c>
      <c r="BF18" s="50">
        <f t="shared" si="17"/>
        <v>29.422000000000001</v>
      </c>
      <c r="BG18" s="50">
        <f t="shared" si="17"/>
        <v>27.563000000000002</v>
      </c>
      <c r="BH18" s="50">
        <f t="shared" si="17"/>
        <v>28.326000000000001</v>
      </c>
      <c r="BI18" s="50">
        <f t="shared" si="17"/>
        <v>29.992999999999999</v>
      </c>
      <c r="BJ18" s="50">
        <f t="shared" si="17"/>
        <v>28.048999999999999</v>
      </c>
      <c r="BK18" s="50"/>
      <c r="BL18" s="50">
        <v>28.04</v>
      </c>
      <c r="BM18" s="50">
        <v>337</v>
      </c>
    </row>
    <row r="19" spans="1:65" ht="15" x14ac:dyDescent="0.25">
      <c r="A19" s="62">
        <v>18</v>
      </c>
      <c r="B19" s="62">
        <v>332</v>
      </c>
      <c r="C19" s="62">
        <v>8.3840000000000003</v>
      </c>
      <c r="D19" s="62">
        <v>8.8940000000000001</v>
      </c>
      <c r="E19" s="62">
        <v>8.9280000000000008</v>
      </c>
      <c r="F19" s="62">
        <v>7.41</v>
      </c>
      <c r="G19" s="62">
        <v>9.5559999999999992</v>
      </c>
      <c r="H19" s="62">
        <v>9.2159999999999993</v>
      </c>
      <c r="I19" s="62">
        <v>10.146000000000001</v>
      </c>
      <c r="J19" s="62">
        <v>11.891</v>
      </c>
      <c r="K19" s="62">
        <v>18.538</v>
      </c>
      <c r="L19" s="62">
        <v>21.911999999999999</v>
      </c>
      <c r="M19" s="62">
        <v>32.738999999999997</v>
      </c>
      <c r="N19" s="62">
        <v>30.959</v>
      </c>
      <c r="O19" s="62">
        <v>31.911000000000001</v>
      </c>
      <c r="P19" s="62">
        <v>25.251999999999999</v>
      </c>
      <c r="Q19" s="62">
        <v>24.954999999999998</v>
      </c>
      <c r="R19" s="62">
        <v>23.259</v>
      </c>
      <c r="S19" s="62">
        <v>19.231999999999999</v>
      </c>
      <c r="T19" s="62">
        <v>17.524000000000001</v>
      </c>
      <c r="U19" s="62">
        <v>15.112</v>
      </c>
      <c r="V19" s="62">
        <v>13.856</v>
      </c>
      <c r="W19" s="62">
        <v>14.292999999999999</v>
      </c>
      <c r="X19" s="62">
        <v>14.372999999999999</v>
      </c>
      <c r="Y19" s="62">
        <v>13.231999999999999</v>
      </c>
      <c r="Z19" s="62">
        <v>11.637</v>
      </c>
      <c r="AA19" s="62">
        <v>16.157</v>
      </c>
      <c r="AB19" s="62">
        <v>15.815</v>
      </c>
      <c r="AC19" s="62">
        <v>16.765000000000001</v>
      </c>
      <c r="AD19" s="62">
        <v>11.614000000000001</v>
      </c>
      <c r="AF19" s="50">
        <v>339</v>
      </c>
      <c r="AG19" s="50">
        <v>18</v>
      </c>
      <c r="AH19" s="50"/>
      <c r="AI19" s="50">
        <f>SUMIF($B$2:$B$133,"=339",C$2:C$133)</f>
        <v>34.918999999999997</v>
      </c>
      <c r="AJ19" s="50">
        <f t="shared" ref="AJ19:BJ19" si="18">SUMIF($B$2:$B$133,"=339",D$2:D$133)</f>
        <v>29.728999999999999</v>
      </c>
      <c r="AK19" s="50">
        <f t="shared" si="18"/>
        <v>28.260999999999999</v>
      </c>
      <c r="AL19" s="50">
        <f t="shared" si="18"/>
        <v>23.369</v>
      </c>
      <c r="AM19" s="50">
        <f t="shared" si="18"/>
        <v>27.983000000000001</v>
      </c>
      <c r="AN19" s="50">
        <f t="shared" si="18"/>
        <v>24.481999999999999</v>
      </c>
      <c r="AO19" s="50">
        <f t="shared" si="18"/>
        <v>23.654</v>
      </c>
      <c r="AP19" s="50">
        <f t="shared" si="18"/>
        <v>24.344999999999999</v>
      </c>
      <c r="AQ19" s="50">
        <f t="shared" si="18"/>
        <v>32.229999999999997</v>
      </c>
      <c r="AR19" s="50">
        <f t="shared" si="18"/>
        <v>33.563000000000002</v>
      </c>
      <c r="AS19" s="50">
        <f t="shared" si="18"/>
        <v>35.796999999999997</v>
      </c>
      <c r="AT19" s="50">
        <f t="shared" si="18"/>
        <v>36.066000000000003</v>
      </c>
      <c r="AU19" s="50">
        <f t="shared" si="18"/>
        <v>39.082000000000001</v>
      </c>
      <c r="AV19" s="50">
        <f t="shared" si="18"/>
        <v>41.152999999999999</v>
      </c>
      <c r="AW19" s="50">
        <f t="shared" si="18"/>
        <v>46.9</v>
      </c>
      <c r="AX19" s="50">
        <f t="shared" si="18"/>
        <v>40.066000000000003</v>
      </c>
      <c r="AY19" s="50">
        <f t="shared" si="18"/>
        <v>35.384999999999998</v>
      </c>
      <c r="AZ19" s="50">
        <f t="shared" si="18"/>
        <v>32.04</v>
      </c>
      <c r="BA19" s="50">
        <f t="shared" si="18"/>
        <v>31.736999999999998</v>
      </c>
      <c r="BB19" s="50">
        <f t="shared" si="18"/>
        <v>30.712</v>
      </c>
      <c r="BC19" s="50">
        <f t="shared" si="18"/>
        <v>32.173000000000002</v>
      </c>
      <c r="BD19" s="50">
        <f t="shared" si="18"/>
        <v>30.937000000000001</v>
      </c>
      <c r="BE19" s="50">
        <f t="shared" si="18"/>
        <v>29.077999999999999</v>
      </c>
      <c r="BF19" s="50">
        <f t="shared" si="18"/>
        <v>26.722000000000001</v>
      </c>
      <c r="BG19" s="50">
        <f t="shared" si="18"/>
        <v>22.975999999999999</v>
      </c>
      <c r="BH19" s="50">
        <f t="shared" si="18"/>
        <v>24.809000000000001</v>
      </c>
      <c r="BI19" s="50">
        <f t="shared" si="18"/>
        <v>24.38</v>
      </c>
      <c r="BJ19" s="50">
        <f t="shared" si="18"/>
        <v>20.68</v>
      </c>
      <c r="BK19" s="50"/>
      <c r="BL19" s="50">
        <v>20.68</v>
      </c>
      <c r="BM19" s="50">
        <v>339</v>
      </c>
    </row>
    <row r="20" spans="1:65" ht="15" x14ac:dyDescent="0.25">
      <c r="A20" s="62">
        <v>19</v>
      </c>
      <c r="B20" s="62">
        <v>336</v>
      </c>
      <c r="C20" s="62">
        <v>3.165</v>
      </c>
      <c r="D20" s="62">
        <v>3.536</v>
      </c>
      <c r="E20" s="62">
        <v>3.72</v>
      </c>
      <c r="F20" s="62">
        <v>3.55</v>
      </c>
      <c r="G20" s="62">
        <v>4.6539999999999999</v>
      </c>
      <c r="H20" s="62">
        <v>4.048</v>
      </c>
      <c r="I20" s="62">
        <v>4.7300000000000004</v>
      </c>
      <c r="J20" s="62">
        <v>4.9889999999999999</v>
      </c>
      <c r="K20" s="62">
        <v>5.4029999999999996</v>
      </c>
      <c r="L20" s="62">
        <v>4.0830000000000002</v>
      </c>
      <c r="M20" s="62">
        <v>4.6950000000000003</v>
      </c>
      <c r="N20" s="62">
        <v>3.9470000000000001</v>
      </c>
      <c r="O20" s="62">
        <v>5.157</v>
      </c>
      <c r="P20" s="62">
        <v>5.54</v>
      </c>
      <c r="Q20" s="62">
        <v>4.742</v>
      </c>
      <c r="R20" s="62">
        <v>4.4539999999999997</v>
      </c>
      <c r="S20" s="62">
        <v>5.2359999999999998</v>
      </c>
      <c r="T20" s="62">
        <v>4.8970000000000002</v>
      </c>
      <c r="U20" s="62">
        <v>4.1740000000000004</v>
      </c>
      <c r="V20" s="62">
        <v>3.2010000000000001</v>
      </c>
      <c r="W20" s="62">
        <v>3.3359999999999999</v>
      </c>
      <c r="X20" s="62">
        <v>2.6789999999999998</v>
      </c>
      <c r="Y20" s="62">
        <v>2.4980000000000002</v>
      </c>
      <c r="Z20" s="62">
        <v>2.149</v>
      </c>
      <c r="AA20" s="62">
        <v>1.9450000000000001</v>
      </c>
      <c r="AB20" s="62">
        <v>3.0539999999999998</v>
      </c>
      <c r="AC20" s="62">
        <v>2.4950000000000001</v>
      </c>
      <c r="AD20" s="62">
        <v>3.6560000000000001</v>
      </c>
      <c r="AF20" s="50">
        <v>400</v>
      </c>
      <c r="AG20" s="50">
        <v>19</v>
      </c>
      <c r="AH20" s="50"/>
      <c r="AI20" s="50">
        <f>SUMIF($B$2:$B$133,"=400",C$2:C$133)</f>
        <v>864.02800000000002</v>
      </c>
      <c r="AJ20" s="50">
        <f t="shared" ref="AJ20:BJ20" si="19">SUMIF($B$2:$B$133,"=400",D$2:D$133)</f>
        <v>911.65100000000007</v>
      </c>
      <c r="AK20" s="50">
        <f t="shared" si="19"/>
        <v>933.27799999999991</v>
      </c>
      <c r="AL20" s="50">
        <f t="shared" si="19"/>
        <v>947.47200000000009</v>
      </c>
      <c r="AM20" s="50">
        <f t="shared" si="19"/>
        <v>974.96299999999985</v>
      </c>
      <c r="AN20" s="50">
        <f t="shared" si="19"/>
        <v>995.5920000000001</v>
      </c>
      <c r="AO20" s="50">
        <f t="shared" si="19"/>
        <v>1049.923</v>
      </c>
      <c r="AP20" s="50">
        <f t="shared" si="19"/>
        <v>1095.1019999999999</v>
      </c>
      <c r="AQ20" s="50">
        <f t="shared" si="19"/>
        <v>1133.4580000000001</v>
      </c>
      <c r="AR20" s="50">
        <f t="shared" si="19"/>
        <v>1126.664</v>
      </c>
      <c r="AS20" s="50">
        <f t="shared" si="19"/>
        <v>1166.4850000000001</v>
      </c>
      <c r="AT20" s="50">
        <f t="shared" si="19"/>
        <v>1226.681</v>
      </c>
      <c r="AU20" s="50">
        <f t="shared" si="19"/>
        <v>1258.1250000000002</v>
      </c>
      <c r="AV20" s="50">
        <f t="shared" si="19"/>
        <v>1269.7329999999999</v>
      </c>
      <c r="AW20" s="50">
        <f t="shared" si="19"/>
        <v>1322.2280000000001</v>
      </c>
      <c r="AX20" s="50">
        <f t="shared" si="19"/>
        <v>1422.8899999999999</v>
      </c>
      <c r="AY20" s="50">
        <f t="shared" si="19"/>
        <v>1307.915</v>
      </c>
      <c r="AZ20" s="50">
        <f t="shared" si="19"/>
        <v>1304.1969999999999</v>
      </c>
      <c r="BA20" s="50">
        <f t="shared" si="19"/>
        <v>1431.453</v>
      </c>
      <c r="BB20" s="50">
        <f t="shared" si="19"/>
        <v>1429.0319999999999</v>
      </c>
      <c r="BC20" s="50">
        <f t="shared" si="19"/>
        <v>1559.126</v>
      </c>
      <c r="BD20" s="50">
        <f t="shared" si="19"/>
        <v>1483.0129999999999</v>
      </c>
      <c r="BE20" s="50">
        <f t="shared" si="19"/>
        <v>1402.3</v>
      </c>
      <c r="BF20" s="50">
        <f t="shared" si="19"/>
        <v>1356.7670000000001</v>
      </c>
      <c r="BG20" s="50">
        <f t="shared" si="19"/>
        <v>1231.2139999999999</v>
      </c>
      <c r="BH20" s="50">
        <f t="shared" si="19"/>
        <v>1186.652</v>
      </c>
      <c r="BI20" s="50">
        <f t="shared" si="19"/>
        <v>1257.1500000000001</v>
      </c>
      <c r="BJ20" s="50">
        <f t="shared" si="19"/>
        <v>1180.4659999999999</v>
      </c>
      <c r="BK20" s="50"/>
      <c r="BL20" s="50"/>
      <c r="BM20" s="50">
        <v>400</v>
      </c>
    </row>
    <row r="21" spans="1:65" ht="15" x14ac:dyDescent="0.25">
      <c r="A21" s="62">
        <v>20</v>
      </c>
      <c r="B21" s="62">
        <v>336</v>
      </c>
      <c r="C21" s="62">
        <v>1.03</v>
      </c>
      <c r="D21" s="62">
        <v>1.921</v>
      </c>
      <c r="E21" s="62">
        <v>2.85</v>
      </c>
      <c r="F21" s="62">
        <v>3.2360000000000002</v>
      </c>
      <c r="G21" s="62">
        <v>5.2050000000000001</v>
      </c>
      <c r="H21" s="62">
        <v>4.7069999999999999</v>
      </c>
      <c r="I21" s="62">
        <v>3.6339999999999999</v>
      </c>
      <c r="J21" s="62">
        <v>2.6</v>
      </c>
      <c r="K21" s="62">
        <v>3.1019999999999999</v>
      </c>
      <c r="L21" s="62">
        <v>2.573</v>
      </c>
      <c r="M21" s="62">
        <v>3.4510000000000001</v>
      </c>
      <c r="N21" s="62">
        <v>2.258</v>
      </c>
      <c r="O21" s="62">
        <v>2.536</v>
      </c>
      <c r="P21" s="62">
        <v>2.6309999999999998</v>
      </c>
      <c r="Q21" s="62">
        <v>1.5740000000000001</v>
      </c>
      <c r="R21" s="62">
        <v>1.522</v>
      </c>
      <c r="S21" s="62">
        <v>1.6879999999999999</v>
      </c>
      <c r="T21" s="62">
        <v>1.925</v>
      </c>
      <c r="U21" s="62">
        <v>2.4169999999999998</v>
      </c>
      <c r="V21" s="62">
        <v>3.2170000000000001</v>
      </c>
      <c r="W21" s="62">
        <v>3.35</v>
      </c>
      <c r="X21" s="62">
        <v>3.7890000000000001</v>
      </c>
      <c r="Y21" s="62">
        <v>3.6349999999999998</v>
      </c>
      <c r="Z21" s="62">
        <v>2.036</v>
      </c>
      <c r="AA21" s="62">
        <v>1.506</v>
      </c>
      <c r="AB21" s="62">
        <v>1.2589999999999999</v>
      </c>
      <c r="AC21" s="62">
        <v>1.4950000000000001</v>
      </c>
      <c r="AD21" s="62">
        <v>1.486</v>
      </c>
      <c r="AF21" s="50">
        <v>500</v>
      </c>
      <c r="AG21" s="50">
        <v>20</v>
      </c>
      <c r="AH21" s="50"/>
      <c r="AI21" s="50">
        <f>SUMIF($B$2:$B$133,"=500",C$2:C$133)</f>
        <v>9824.3339999999989</v>
      </c>
      <c r="AJ21" s="50">
        <f t="shared" ref="AJ21:BJ21" si="20">SUMIF($B$2:$B$133,"=500",D$2:D$133)</f>
        <v>9707.3110000000015</v>
      </c>
      <c r="AK21" s="50">
        <f t="shared" si="20"/>
        <v>9877.6560000000009</v>
      </c>
      <c r="AL21" s="50">
        <f t="shared" si="20"/>
        <v>10000.581999999999</v>
      </c>
      <c r="AM21" s="50">
        <f t="shared" si="20"/>
        <v>10361.727000000001</v>
      </c>
      <c r="AN21" s="50">
        <f t="shared" si="20"/>
        <v>10559.186000000002</v>
      </c>
      <c r="AO21" s="50">
        <f t="shared" si="20"/>
        <v>10845.163999999999</v>
      </c>
      <c r="AP21" s="50">
        <f t="shared" si="20"/>
        <v>11375.433999999999</v>
      </c>
      <c r="AQ21" s="50">
        <f t="shared" si="20"/>
        <v>11820.134999999998</v>
      </c>
      <c r="AR21" s="50">
        <f t="shared" si="20"/>
        <v>12051.896000000001</v>
      </c>
      <c r="AS21" s="50">
        <f t="shared" si="20"/>
        <v>12392.795999999998</v>
      </c>
      <c r="AT21" s="50">
        <f t="shared" si="20"/>
        <v>12617.885</v>
      </c>
      <c r="AU21" s="50">
        <f t="shared" si="20"/>
        <v>12483.306000000002</v>
      </c>
      <c r="AV21" s="50">
        <f t="shared" si="20"/>
        <v>12864.520000000002</v>
      </c>
      <c r="AW21" s="50">
        <f t="shared" si="20"/>
        <v>13398.714999999998</v>
      </c>
      <c r="AX21" s="50">
        <f t="shared" si="20"/>
        <v>13018.557000000001</v>
      </c>
      <c r="AY21" s="50">
        <f t="shared" si="20"/>
        <v>12563.960999999998</v>
      </c>
      <c r="AZ21" s="50">
        <f t="shared" si="20"/>
        <v>12625.906000000001</v>
      </c>
      <c r="BA21" s="50">
        <f t="shared" si="20"/>
        <v>13168.422</v>
      </c>
      <c r="BB21" s="50">
        <f t="shared" si="20"/>
        <v>13032.044</v>
      </c>
      <c r="BC21" s="50">
        <f t="shared" si="20"/>
        <v>13321.92</v>
      </c>
      <c r="BD21" s="50">
        <f t="shared" si="20"/>
        <v>12996.228000000001</v>
      </c>
      <c r="BE21" s="50">
        <f t="shared" si="20"/>
        <v>12428.537000000002</v>
      </c>
      <c r="BF21" s="50">
        <f t="shared" si="20"/>
        <v>11945.344000000001</v>
      </c>
      <c r="BG21" s="50">
        <f t="shared" si="20"/>
        <v>12135.748999999998</v>
      </c>
      <c r="BH21" s="50">
        <f t="shared" si="20"/>
        <v>11535.356</v>
      </c>
      <c r="BI21" s="50">
        <f t="shared" si="20"/>
        <v>12117.81</v>
      </c>
      <c r="BJ21" s="50">
        <f t="shared" si="20"/>
        <v>11760.395</v>
      </c>
      <c r="BK21" s="50"/>
      <c r="BL21" s="50"/>
      <c r="BM21" s="50">
        <v>500</v>
      </c>
    </row>
    <row r="22" spans="1:65" ht="15" x14ac:dyDescent="0.25">
      <c r="A22" s="62">
        <v>21</v>
      </c>
      <c r="B22" s="62">
        <v>311</v>
      </c>
      <c r="C22" s="62">
        <v>700.06600000000003</v>
      </c>
      <c r="D22" s="62">
        <v>702.44399999999996</v>
      </c>
      <c r="E22" s="62">
        <v>707.82799999999997</v>
      </c>
      <c r="F22" s="62">
        <v>679.43299999999999</v>
      </c>
      <c r="G22" s="62">
        <v>692.15499999999997</v>
      </c>
      <c r="H22" s="62">
        <v>687.77300000000002</v>
      </c>
      <c r="I22" s="62">
        <v>757.41200000000003</v>
      </c>
      <c r="J22" s="62">
        <v>748.59100000000001</v>
      </c>
      <c r="K22" s="62">
        <v>770.62900000000002</v>
      </c>
      <c r="L22" s="62">
        <v>804.84500000000003</v>
      </c>
      <c r="M22" s="62">
        <v>925.19</v>
      </c>
      <c r="N22" s="62">
        <v>844.82600000000002</v>
      </c>
      <c r="O22" s="62">
        <v>866.03700000000003</v>
      </c>
      <c r="P22" s="62">
        <v>881.51</v>
      </c>
      <c r="Q22" s="62">
        <v>874.91099999999994</v>
      </c>
      <c r="R22" s="62">
        <v>847.80200000000002</v>
      </c>
      <c r="S22" s="62">
        <v>772.43200000000002</v>
      </c>
      <c r="T22" s="62">
        <v>776.23599999999999</v>
      </c>
      <c r="U22" s="62">
        <v>779.13800000000003</v>
      </c>
      <c r="V22" s="62">
        <v>784.15899999999999</v>
      </c>
      <c r="W22" s="62">
        <v>809.202</v>
      </c>
      <c r="X22" s="62">
        <v>782.01199999999994</v>
      </c>
      <c r="Y22" s="62">
        <v>776.726</v>
      </c>
      <c r="Z22" s="62">
        <v>733.67</v>
      </c>
      <c r="AA22" s="62">
        <v>751.21699999999998</v>
      </c>
      <c r="AB22" s="62">
        <v>778.18499999999995</v>
      </c>
      <c r="AC22" s="62">
        <v>772.92899999999997</v>
      </c>
      <c r="AD22" s="62">
        <v>681.49900000000002</v>
      </c>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row>
    <row r="23" spans="1:65" ht="15" x14ac:dyDescent="0.25">
      <c r="A23" s="62">
        <v>22</v>
      </c>
      <c r="B23" s="62">
        <v>311</v>
      </c>
      <c r="C23" s="62">
        <v>9.33</v>
      </c>
      <c r="D23" s="62">
        <v>10.295</v>
      </c>
      <c r="E23" s="62">
        <v>11.282999999999999</v>
      </c>
      <c r="F23" s="62">
        <v>10.779</v>
      </c>
      <c r="G23" s="62">
        <v>11.476000000000001</v>
      </c>
      <c r="H23" s="62">
        <v>13.384</v>
      </c>
      <c r="I23" s="62">
        <v>13.941000000000001</v>
      </c>
      <c r="J23" s="62">
        <v>15.506</v>
      </c>
      <c r="K23" s="62">
        <v>15.712</v>
      </c>
      <c r="L23" s="62">
        <v>16.280999999999999</v>
      </c>
      <c r="M23" s="62">
        <v>15.817</v>
      </c>
      <c r="N23" s="62">
        <v>15.478</v>
      </c>
      <c r="O23" s="62">
        <v>16.373999999999999</v>
      </c>
      <c r="P23" s="62">
        <v>14.843999999999999</v>
      </c>
      <c r="Q23" s="62">
        <v>14.845000000000001</v>
      </c>
      <c r="R23" s="62">
        <v>15.243</v>
      </c>
      <c r="S23" s="62">
        <v>16.286999999999999</v>
      </c>
      <c r="T23" s="62">
        <v>15.147</v>
      </c>
      <c r="U23" s="62">
        <v>15.944000000000001</v>
      </c>
      <c r="V23" s="62">
        <v>19.137</v>
      </c>
      <c r="W23" s="62">
        <v>17.79</v>
      </c>
      <c r="X23" s="62">
        <v>16.227</v>
      </c>
      <c r="Y23" s="62">
        <v>17.178999999999998</v>
      </c>
      <c r="Z23" s="62">
        <v>16.718</v>
      </c>
      <c r="AA23" s="62">
        <v>16.463000000000001</v>
      </c>
      <c r="AB23" s="62">
        <v>19.059000000000001</v>
      </c>
      <c r="AC23" s="62">
        <v>18.285</v>
      </c>
      <c r="AD23" s="62">
        <v>19.452999999999999</v>
      </c>
      <c r="AF23" s="50"/>
      <c r="AG23" s="50"/>
      <c r="AH23" s="50"/>
      <c r="AI23" s="50">
        <f>SUM(AI2:AI21)</f>
        <v>20574.131000000001</v>
      </c>
      <c r="AJ23" s="50">
        <f t="shared" ref="AJ23:BJ23" si="21">SUM(AJ2:AJ21)</f>
        <v>21105.069000000003</v>
      </c>
      <c r="AK23" s="50">
        <f t="shared" si="21"/>
        <v>21615.433000000005</v>
      </c>
      <c r="AL23" s="50">
        <f t="shared" si="21"/>
        <v>21510.334999999999</v>
      </c>
      <c r="AM23" s="50">
        <f t="shared" si="21"/>
        <v>22374.959000000003</v>
      </c>
      <c r="AN23" s="50">
        <f t="shared" si="21"/>
        <v>22938.81</v>
      </c>
      <c r="AO23" s="50">
        <f t="shared" si="21"/>
        <v>24134.258000000002</v>
      </c>
      <c r="AP23" s="50">
        <f t="shared" si="21"/>
        <v>25300.824999999997</v>
      </c>
      <c r="AQ23" s="50">
        <f t="shared" si="21"/>
        <v>26261.000999999997</v>
      </c>
      <c r="AR23" s="50">
        <f t="shared" si="21"/>
        <v>26585.239000000001</v>
      </c>
      <c r="AS23" s="50">
        <f t="shared" si="21"/>
        <v>27623.156000000003</v>
      </c>
      <c r="AT23" s="50">
        <f t="shared" si="21"/>
        <v>28383.655000000002</v>
      </c>
      <c r="AU23" s="50">
        <f t="shared" si="21"/>
        <v>28011.259000000005</v>
      </c>
      <c r="AV23" s="50">
        <f t="shared" si="21"/>
        <v>28438.779000000002</v>
      </c>
      <c r="AW23" s="50">
        <f t="shared" si="21"/>
        <v>29559.548999999999</v>
      </c>
      <c r="AX23" s="50">
        <f t="shared" si="21"/>
        <v>29544.311000000002</v>
      </c>
      <c r="AY23" s="50">
        <f t="shared" si="21"/>
        <v>28882.637999999999</v>
      </c>
      <c r="AZ23" s="50">
        <f t="shared" si="21"/>
        <v>27521.138000000003</v>
      </c>
      <c r="BA23" s="50">
        <f t="shared" si="21"/>
        <v>28781.508999999998</v>
      </c>
      <c r="BB23" s="50">
        <f t="shared" si="21"/>
        <v>28765.496999999999</v>
      </c>
      <c r="BC23" s="50">
        <f t="shared" si="21"/>
        <v>29394.934000000001</v>
      </c>
      <c r="BD23" s="50">
        <f t="shared" si="21"/>
        <v>28894.909</v>
      </c>
      <c r="BE23" s="50">
        <f t="shared" si="21"/>
        <v>27053.880000000005</v>
      </c>
      <c r="BF23" s="50">
        <f t="shared" si="21"/>
        <v>25894.825000000004</v>
      </c>
      <c r="BG23" s="50">
        <f t="shared" si="21"/>
        <v>24520.893999999997</v>
      </c>
      <c r="BH23" s="50">
        <f t="shared" si="21"/>
        <v>24530.476000000002</v>
      </c>
      <c r="BI23" s="50">
        <f t="shared" si="21"/>
        <v>25376.112999999998</v>
      </c>
      <c r="BJ23" s="50">
        <f t="shared" si="21"/>
        <v>24115.654000000002</v>
      </c>
      <c r="BK23" s="50"/>
      <c r="BL23" s="50"/>
      <c r="BM23" s="50"/>
    </row>
    <row r="24" spans="1:65" ht="15" x14ac:dyDescent="0.25">
      <c r="A24" s="62">
        <v>23</v>
      </c>
      <c r="B24" s="62">
        <v>313</v>
      </c>
      <c r="C24" s="62">
        <v>154.387</v>
      </c>
      <c r="D24" s="62">
        <v>149.80199999999999</v>
      </c>
      <c r="E24" s="62">
        <v>148.86099999999999</v>
      </c>
      <c r="F24" s="62">
        <v>141.31899999999999</v>
      </c>
      <c r="G24" s="62">
        <v>142.95699999999999</v>
      </c>
      <c r="H24" s="62">
        <v>149.036</v>
      </c>
      <c r="I24" s="62">
        <v>160.36000000000001</v>
      </c>
      <c r="J24" s="62">
        <v>164.04300000000001</v>
      </c>
      <c r="K24" s="62">
        <v>167.22800000000001</v>
      </c>
      <c r="L24" s="62">
        <v>177.74700000000001</v>
      </c>
      <c r="M24" s="62">
        <v>168.08</v>
      </c>
      <c r="N24" s="62">
        <v>166.595</v>
      </c>
      <c r="O24" s="62">
        <v>158.262</v>
      </c>
      <c r="P24" s="62">
        <v>165.68700000000001</v>
      </c>
      <c r="Q24" s="62">
        <v>159.13</v>
      </c>
      <c r="R24" s="62">
        <v>146.274</v>
      </c>
      <c r="S24" s="62">
        <v>132.14500000000001</v>
      </c>
      <c r="T24" s="62">
        <v>132.46100000000001</v>
      </c>
      <c r="U24" s="62">
        <v>139.87100000000001</v>
      </c>
      <c r="V24" s="62">
        <v>140.79400000000001</v>
      </c>
      <c r="W24" s="62">
        <v>134.54900000000001</v>
      </c>
      <c r="X24" s="62">
        <v>126.95099999999999</v>
      </c>
      <c r="Y24" s="62">
        <v>119.411</v>
      </c>
      <c r="Z24" s="62">
        <v>118.253</v>
      </c>
      <c r="AA24" s="62">
        <v>103.13800000000001</v>
      </c>
      <c r="AB24" s="62">
        <v>117.143</v>
      </c>
      <c r="AC24" s="62">
        <v>113.348</v>
      </c>
      <c r="AD24" s="62">
        <v>100.202</v>
      </c>
      <c r="AF24" s="50"/>
      <c r="AG24" s="50"/>
      <c r="AH24" s="50"/>
      <c r="AI24" s="50">
        <f>SUM(C2:C133)</f>
        <v>20574.131000000008</v>
      </c>
      <c r="AJ24" s="50">
        <f t="shared" ref="AJ24:BJ24" si="22">SUM(D2:D133)</f>
        <v>21105.069000000003</v>
      </c>
      <c r="AK24" s="50">
        <f t="shared" si="22"/>
        <v>21615.433000000005</v>
      </c>
      <c r="AL24" s="50">
        <f t="shared" si="22"/>
        <v>21510.335000000006</v>
      </c>
      <c r="AM24" s="50">
        <f t="shared" si="22"/>
        <v>22374.958999999999</v>
      </c>
      <c r="AN24" s="50">
        <f t="shared" si="22"/>
        <v>22938.81</v>
      </c>
      <c r="AO24" s="50">
        <f t="shared" si="22"/>
        <v>24134.257999999998</v>
      </c>
      <c r="AP24" s="50">
        <f t="shared" si="22"/>
        <v>25300.824999999993</v>
      </c>
      <c r="AQ24" s="50">
        <f t="shared" si="22"/>
        <v>26261.001000000011</v>
      </c>
      <c r="AR24" s="50">
        <f t="shared" si="22"/>
        <v>26585.239000000005</v>
      </c>
      <c r="AS24" s="50">
        <f t="shared" si="22"/>
        <v>27623.155999999999</v>
      </c>
      <c r="AT24" s="50">
        <f t="shared" si="22"/>
        <v>28383.654999999999</v>
      </c>
      <c r="AU24" s="50">
        <f t="shared" si="22"/>
        <v>28011.259000000009</v>
      </c>
      <c r="AV24" s="50">
        <f t="shared" si="22"/>
        <v>28438.778999999999</v>
      </c>
      <c r="AW24" s="50">
        <f t="shared" si="22"/>
        <v>29559.548999999992</v>
      </c>
      <c r="AX24" s="50">
        <f t="shared" si="22"/>
        <v>29544.311000000002</v>
      </c>
      <c r="AY24" s="50">
        <f t="shared" si="22"/>
        <v>28882.638000000014</v>
      </c>
      <c r="AZ24" s="50">
        <f t="shared" si="22"/>
        <v>27521.137999999995</v>
      </c>
      <c r="BA24" s="50">
        <f t="shared" si="22"/>
        <v>28781.509000000002</v>
      </c>
      <c r="BB24" s="50">
        <f t="shared" si="22"/>
        <v>28765.496999999999</v>
      </c>
      <c r="BC24" s="50">
        <f t="shared" si="22"/>
        <v>29394.934000000008</v>
      </c>
      <c r="BD24" s="50">
        <f t="shared" si="22"/>
        <v>28894.909000000003</v>
      </c>
      <c r="BE24" s="50">
        <f t="shared" si="22"/>
        <v>27053.879999999997</v>
      </c>
      <c r="BF24" s="50">
        <f t="shared" si="22"/>
        <v>25894.825000000001</v>
      </c>
      <c r="BG24" s="50">
        <f t="shared" si="22"/>
        <v>24520.894000000008</v>
      </c>
      <c r="BH24" s="50">
        <f t="shared" si="22"/>
        <v>24530.475999999995</v>
      </c>
      <c r="BI24" s="50">
        <f t="shared" si="22"/>
        <v>25376.112999999994</v>
      </c>
      <c r="BJ24" s="50">
        <f t="shared" si="22"/>
        <v>24115.653999999999</v>
      </c>
      <c r="BK24" s="50"/>
      <c r="BL24" s="50"/>
      <c r="BM24" s="50"/>
    </row>
    <row r="25" spans="1:65" ht="15" x14ac:dyDescent="0.25">
      <c r="A25" s="62">
        <v>24</v>
      </c>
      <c r="B25" s="62">
        <v>313</v>
      </c>
      <c r="C25" s="62">
        <v>22.257000000000001</v>
      </c>
      <c r="D25" s="62">
        <v>23.547000000000001</v>
      </c>
      <c r="E25" s="62">
        <v>25.306000000000001</v>
      </c>
      <c r="F25" s="62">
        <v>25.585000000000001</v>
      </c>
      <c r="G25" s="62">
        <v>27.556000000000001</v>
      </c>
      <c r="H25" s="62">
        <v>28.742000000000001</v>
      </c>
      <c r="I25" s="62">
        <v>31.591999999999999</v>
      </c>
      <c r="J25" s="62">
        <v>32.027999999999999</v>
      </c>
      <c r="K25" s="62">
        <v>33.225999999999999</v>
      </c>
      <c r="L25" s="62">
        <v>38.241999999999997</v>
      </c>
      <c r="M25" s="62">
        <v>37.597000000000001</v>
      </c>
      <c r="N25" s="62">
        <v>40.591000000000001</v>
      </c>
      <c r="O25" s="62">
        <v>43.039000000000001</v>
      </c>
      <c r="P25" s="62">
        <v>50.162999999999997</v>
      </c>
      <c r="Q25" s="62">
        <v>54.795000000000002</v>
      </c>
      <c r="R25" s="62">
        <v>52.186</v>
      </c>
      <c r="S25" s="62">
        <v>44.045000000000002</v>
      </c>
      <c r="T25" s="62">
        <v>41.999000000000002</v>
      </c>
      <c r="U25" s="62">
        <v>45.36</v>
      </c>
      <c r="V25" s="62">
        <v>49.414000000000001</v>
      </c>
      <c r="W25" s="62">
        <v>50.226999999999997</v>
      </c>
      <c r="X25" s="62">
        <v>48.222999999999999</v>
      </c>
      <c r="Y25" s="62">
        <v>41.557000000000002</v>
      </c>
      <c r="Z25" s="62">
        <v>39.390999999999998</v>
      </c>
      <c r="AA25" s="62">
        <v>34.232999999999997</v>
      </c>
      <c r="AB25" s="62">
        <v>38.853999999999999</v>
      </c>
      <c r="AC25" s="62">
        <v>40.569000000000003</v>
      </c>
      <c r="AD25" s="62">
        <v>36.067999999999998</v>
      </c>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row>
    <row r="26" spans="1:65" ht="15" x14ac:dyDescent="0.25">
      <c r="A26" s="62">
        <v>25</v>
      </c>
      <c r="B26" s="62">
        <v>313</v>
      </c>
      <c r="C26" s="62">
        <v>15.622</v>
      </c>
      <c r="D26" s="62">
        <v>15.863</v>
      </c>
      <c r="E26" s="62">
        <v>15.199</v>
      </c>
      <c r="F26" s="62">
        <v>13.991</v>
      </c>
      <c r="G26" s="62">
        <v>15.082000000000001</v>
      </c>
      <c r="H26" s="62">
        <v>15.994999999999999</v>
      </c>
      <c r="I26" s="62">
        <v>19.297999999999998</v>
      </c>
      <c r="J26" s="62">
        <v>21.535</v>
      </c>
      <c r="K26" s="62">
        <v>25.38</v>
      </c>
      <c r="L26" s="62">
        <v>30.175999999999998</v>
      </c>
      <c r="M26" s="62">
        <v>39.82</v>
      </c>
      <c r="N26" s="62">
        <v>38.859000000000002</v>
      </c>
      <c r="O26" s="62">
        <v>39.003</v>
      </c>
      <c r="P26" s="62">
        <v>41.887999999999998</v>
      </c>
      <c r="Q26" s="62">
        <v>46.261000000000003</v>
      </c>
      <c r="R26" s="62">
        <v>41.183999999999997</v>
      </c>
      <c r="S26" s="62">
        <v>31.327000000000002</v>
      </c>
      <c r="T26" s="62">
        <v>32.029000000000003</v>
      </c>
      <c r="U26" s="62">
        <v>33.159999999999997</v>
      </c>
      <c r="V26" s="62">
        <v>39.616999999999997</v>
      </c>
      <c r="W26" s="62">
        <v>40.35</v>
      </c>
      <c r="X26" s="62">
        <v>39.981000000000002</v>
      </c>
      <c r="Y26" s="62">
        <v>38.018000000000001</v>
      </c>
      <c r="Z26" s="62">
        <v>35.74</v>
      </c>
      <c r="AA26" s="62">
        <v>33.106999999999999</v>
      </c>
      <c r="AB26" s="62">
        <v>36.5</v>
      </c>
      <c r="AC26" s="62">
        <v>34.808999999999997</v>
      </c>
      <c r="AD26" s="62">
        <v>31.22</v>
      </c>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v>2247.7180000000003</v>
      </c>
      <c r="BK26" s="50"/>
      <c r="BL26" s="50">
        <v>2247.7960000000003</v>
      </c>
      <c r="BM26" s="50"/>
    </row>
    <row r="27" spans="1:65" x14ac:dyDescent="0.2">
      <c r="A27" s="62">
        <v>26</v>
      </c>
      <c r="B27" s="62">
        <v>315</v>
      </c>
      <c r="C27" s="62">
        <v>26.356000000000002</v>
      </c>
      <c r="D27" s="62">
        <v>25.425999999999998</v>
      </c>
      <c r="E27" s="62">
        <v>24.751999999999999</v>
      </c>
      <c r="F27" s="62">
        <v>21.024999999999999</v>
      </c>
      <c r="G27" s="62">
        <v>22.248999999999999</v>
      </c>
      <c r="H27" s="62">
        <v>22.157</v>
      </c>
      <c r="I27" s="62">
        <v>25.931000000000001</v>
      </c>
      <c r="J27" s="62">
        <v>27.263999999999999</v>
      </c>
      <c r="K27" s="62">
        <v>30.901</v>
      </c>
      <c r="L27" s="62">
        <v>37.959000000000003</v>
      </c>
      <c r="M27" s="62">
        <v>45.302</v>
      </c>
      <c r="N27" s="62">
        <v>38.857999999999997</v>
      </c>
      <c r="O27" s="62">
        <v>36.506</v>
      </c>
      <c r="P27" s="62">
        <v>37.515999999999998</v>
      </c>
      <c r="Q27" s="62">
        <v>35.405999999999999</v>
      </c>
      <c r="R27" s="62">
        <v>31.213000000000001</v>
      </c>
      <c r="S27" s="62">
        <v>27.279</v>
      </c>
      <c r="T27" s="62">
        <v>24.137</v>
      </c>
      <c r="U27" s="62">
        <v>23.872</v>
      </c>
      <c r="V27" s="62">
        <v>27.045000000000002</v>
      </c>
      <c r="W27" s="62">
        <v>29.751999999999999</v>
      </c>
      <c r="X27" s="62">
        <v>26.073</v>
      </c>
      <c r="Y27" s="62">
        <v>26.053000000000001</v>
      </c>
      <c r="Z27" s="62">
        <v>27.31</v>
      </c>
      <c r="AA27" s="62">
        <v>19.835000000000001</v>
      </c>
      <c r="AB27" s="62">
        <v>21.420999999999999</v>
      </c>
      <c r="AC27" s="62">
        <v>19.495999999999999</v>
      </c>
      <c r="AD27" s="62">
        <v>16.303000000000001</v>
      </c>
    </row>
    <row r="28" spans="1:65" x14ac:dyDescent="0.2">
      <c r="A28" s="62">
        <v>27</v>
      </c>
      <c r="B28" s="62">
        <v>313</v>
      </c>
      <c r="C28" s="62">
        <v>5.4690000000000003</v>
      </c>
      <c r="D28" s="62">
        <v>5.0759999999999996</v>
      </c>
      <c r="E28" s="62">
        <v>4.6520000000000001</v>
      </c>
      <c r="F28" s="62">
        <v>3.7429999999999999</v>
      </c>
      <c r="G28" s="62">
        <v>4.2439999999999998</v>
      </c>
      <c r="H28" s="62">
        <v>4.6020000000000003</v>
      </c>
      <c r="I28" s="62">
        <v>5.8339999999999996</v>
      </c>
      <c r="J28" s="62">
        <v>6.9720000000000004</v>
      </c>
      <c r="K28" s="62">
        <v>8.6140000000000008</v>
      </c>
      <c r="L28" s="62">
        <v>11.403</v>
      </c>
      <c r="M28" s="62">
        <v>16.349</v>
      </c>
      <c r="N28" s="62">
        <v>14.228</v>
      </c>
      <c r="O28" s="62">
        <v>14.430999999999999</v>
      </c>
      <c r="P28" s="62">
        <v>13.811</v>
      </c>
      <c r="Q28" s="62">
        <v>13.683999999999999</v>
      </c>
      <c r="R28" s="62">
        <v>12.542999999999999</v>
      </c>
      <c r="S28" s="62">
        <v>12.930999999999999</v>
      </c>
      <c r="T28" s="62">
        <v>13.308999999999999</v>
      </c>
      <c r="U28" s="62">
        <v>12.438000000000001</v>
      </c>
      <c r="V28" s="62">
        <v>13.268000000000001</v>
      </c>
      <c r="W28" s="62">
        <v>13.624000000000001</v>
      </c>
      <c r="X28" s="62">
        <v>10.760999999999999</v>
      </c>
      <c r="Y28" s="62">
        <v>9.7129999999999992</v>
      </c>
      <c r="Z28" s="62">
        <v>10.491</v>
      </c>
      <c r="AA28" s="62">
        <v>9.9870000000000001</v>
      </c>
      <c r="AB28" s="62">
        <v>9.5890000000000004</v>
      </c>
      <c r="AC28" s="62">
        <v>10.194000000000001</v>
      </c>
      <c r="AD28" s="62">
        <v>8.8629999999999995</v>
      </c>
    </row>
    <row r="29" spans="1:65" x14ac:dyDescent="0.2">
      <c r="A29" s="62">
        <v>28</v>
      </c>
      <c r="B29" s="62">
        <v>321</v>
      </c>
      <c r="C29" s="62">
        <v>272.06700000000001</v>
      </c>
      <c r="D29" s="62">
        <v>300.68799999999999</v>
      </c>
      <c r="E29" s="62">
        <v>276.56599999999997</v>
      </c>
      <c r="F29" s="62">
        <v>264.00799999999998</v>
      </c>
      <c r="G29" s="62">
        <v>270.50700000000001</v>
      </c>
      <c r="H29" s="62">
        <v>318.12299999999999</v>
      </c>
      <c r="I29" s="62">
        <v>352.57</v>
      </c>
      <c r="J29" s="62">
        <v>375.59399999999999</v>
      </c>
      <c r="K29" s="62">
        <v>376.42700000000002</v>
      </c>
      <c r="L29" s="62">
        <v>406.96</v>
      </c>
      <c r="M29" s="62">
        <v>465.49599999999998</v>
      </c>
      <c r="N29" s="62">
        <v>439.67399999999998</v>
      </c>
      <c r="O29" s="62">
        <v>431.06700000000001</v>
      </c>
      <c r="P29" s="62">
        <v>422.13200000000001</v>
      </c>
      <c r="Q29" s="62">
        <v>442.35899999999998</v>
      </c>
      <c r="R29" s="62">
        <v>456.99799999999999</v>
      </c>
      <c r="S29" s="62">
        <v>438.37599999999998</v>
      </c>
      <c r="T29" s="62">
        <v>411.428</v>
      </c>
      <c r="U29" s="62">
        <v>444.85599999999999</v>
      </c>
      <c r="V29" s="62">
        <v>441.298</v>
      </c>
      <c r="W29" s="62">
        <v>481.762</v>
      </c>
      <c r="X29" s="62">
        <v>480.291</v>
      </c>
      <c r="Y29" s="62">
        <v>451.58800000000002</v>
      </c>
      <c r="Z29" s="62">
        <v>447.82299999999998</v>
      </c>
      <c r="AA29" s="62">
        <v>391.06</v>
      </c>
      <c r="AB29" s="62">
        <v>430.803</v>
      </c>
      <c r="AC29" s="62">
        <v>456.59300000000002</v>
      </c>
      <c r="AD29" s="62">
        <v>467.30700000000002</v>
      </c>
    </row>
    <row r="30" spans="1:65" x14ac:dyDescent="0.2">
      <c r="A30" s="62">
        <v>29</v>
      </c>
      <c r="B30" s="62">
        <v>321</v>
      </c>
      <c r="C30" s="62">
        <v>1.073</v>
      </c>
      <c r="D30" s="62">
        <v>1.22</v>
      </c>
      <c r="E30" s="62">
        <v>1.014</v>
      </c>
      <c r="F30" s="62">
        <v>0.89900000000000002</v>
      </c>
      <c r="G30" s="62">
        <v>0.75700000000000001</v>
      </c>
      <c r="H30" s="62">
        <v>1.248</v>
      </c>
      <c r="I30" s="62">
        <v>1.2989999999999999</v>
      </c>
      <c r="J30" s="62">
        <v>1.5049999999999999</v>
      </c>
      <c r="K30" s="62">
        <v>1.478</v>
      </c>
      <c r="L30" s="62">
        <v>1.5049999999999999</v>
      </c>
      <c r="M30" s="62">
        <v>1.895</v>
      </c>
      <c r="N30" s="62">
        <v>1.8320000000000001</v>
      </c>
      <c r="O30" s="62">
        <v>1.6719999999999999</v>
      </c>
      <c r="P30" s="62">
        <v>2.0379999999999998</v>
      </c>
      <c r="Q30" s="62">
        <v>2.3679999999999999</v>
      </c>
      <c r="R30" s="62">
        <v>2.5110000000000001</v>
      </c>
      <c r="S30" s="62">
        <v>1.952</v>
      </c>
      <c r="T30" s="62">
        <v>1.36</v>
      </c>
      <c r="U30" s="62">
        <v>1.298</v>
      </c>
      <c r="V30" s="62">
        <v>1.589</v>
      </c>
      <c r="W30" s="62">
        <v>1.5760000000000001</v>
      </c>
      <c r="X30" s="62">
        <v>1.3620000000000001</v>
      </c>
      <c r="Y30" s="62">
        <v>1.262</v>
      </c>
      <c r="Z30" s="62">
        <v>1.181</v>
      </c>
      <c r="AA30" s="62">
        <v>0.876</v>
      </c>
      <c r="AB30" s="62">
        <v>0.77900000000000003</v>
      </c>
      <c r="AC30" s="62">
        <v>0.98899999999999999</v>
      </c>
      <c r="AD30" s="62">
        <v>0.84799999999999998</v>
      </c>
    </row>
    <row r="31" spans="1:65" x14ac:dyDescent="0.2">
      <c r="A31" s="62">
        <v>30</v>
      </c>
      <c r="B31" s="62">
        <v>321</v>
      </c>
      <c r="C31" s="62">
        <v>2.089</v>
      </c>
      <c r="D31" s="62">
        <v>2.2370000000000001</v>
      </c>
      <c r="E31" s="62">
        <v>1.8</v>
      </c>
      <c r="F31" s="62">
        <v>1.528</v>
      </c>
      <c r="G31" s="62">
        <v>1.427</v>
      </c>
      <c r="H31" s="62">
        <v>2.109</v>
      </c>
      <c r="I31" s="62">
        <v>2.3119999999999998</v>
      </c>
      <c r="J31" s="62">
        <v>2.395</v>
      </c>
      <c r="K31" s="62">
        <v>2.411</v>
      </c>
      <c r="L31" s="62">
        <v>2.5579999999999998</v>
      </c>
      <c r="M31" s="62">
        <v>2.9129999999999998</v>
      </c>
      <c r="N31" s="62">
        <v>2.7989999999999999</v>
      </c>
      <c r="O31" s="62">
        <v>2.391</v>
      </c>
      <c r="P31" s="62">
        <v>2.3239999999999998</v>
      </c>
      <c r="Q31" s="62">
        <v>2.0190000000000001</v>
      </c>
      <c r="R31" s="62">
        <v>1.1279999999999999</v>
      </c>
      <c r="S31" s="62">
        <v>0.96599999999999997</v>
      </c>
      <c r="T31" s="62">
        <v>0.95499999999999996</v>
      </c>
      <c r="U31" s="62">
        <v>0.83</v>
      </c>
      <c r="V31" s="62">
        <v>0.42099999999999999</v>
      </c>
      <c r="W31" s="62">
        <v>0.27700000000000002</v>
      </c>
      <c r="X31" s="62">
        <v>0.29599999999999999</v>
      </c>
      <c r="Y31" s="62">
        <v>0.72399999999999998</v>
      </c>
      <c r="Z31" s="62">
        <v>0.84899999999999998</v>
      </c>
      <c r="AA31" s="62">
        <v>0.65300000000000002</v>
      </c>
      <c r="AB31" s="62">
        <v>0.81899999999999995</v>
      </c>
      <c r="AC31" s="62">
        <v>0.71899999999999997</v>
      </c>
      <c r="AD31" s="62">
        <v>0.66</v>
      </c>
    </row>
    <row r="32" spans="1:65" x14ac:dyDescent="0.2">
      <c r="A32" s="62">
        <v>31</v>
      </c>
      <c r="B32" s="62">
        <v>337</v>
      </c>
      <c r="C32" s="62">
        <v>15.211</v>
      </c>
      <c r="D32" s="62">
        <v>14.680999999999999</v>
      </c>
      <c r="E32" s="62">
        <v>14.067</v>
      </c>
      <c r="F32" s="62">
        <v>12.938000000000001</v>
      </c>
      <c r="G32" s="62">
        <v>14.760999999999999</v>
      </c>
      <c r="H32" s="62">
        <v>12.7</v>
      </c>
      <c r="I32" s="62">
        <v>14.878</v>
      </c>
      <c r="J32" s="62">
        <v>15.202999999999999</v>
      </c>
      <c r="K32" s="62">
        <v>17.884</v>
      </c>
      <c r="L32" s="62">
        <v>20.245999999999999</v>
      </c>
      <c r="M32" s="62">
        <v>17.338000000000001</v>
      </c>
      <c r="N32" s="62">
        <v>17.565999999999999</v>
      </c>
      <c r="O32" s="62">
        <v>21.661999999999999</v>
      </c>
      <c r="P32" s="62">
        <v>22.792000000000002</v>
      </c>
      <c r="Q32" s="62">
        <v>30.622</v>
      </c>
      <c r="R32" s="62">
        <v>22.565000000000001</v>
      </c>
      <c r="S32" s="62">
        <v>22.390999999999998</v>
      </c>
      <c r="T32" s="62">
        <v>18.030999999999999</v>
      </c>
      <c r="U32" s="62">
        <v>17.919</v>
      </c>
      <c r="V32" s="62">
        <v>20.062000000000001</v>
      </c>
      <c r="W32" s="62">
        <v>19.844999999999999</v>
      </c>
      <c r="X32" s="62">
        <v>18.231999999999999</v>
      </c>
      <c r="Y32" s="62">
        <v>16.309000000000001</v>
      </c>
      <c r="Z32" s="62">
        <v>15.234</v>
      </c>
      <c r="AA32" s="62">
        <v>13.234</v>
      </c>
      <c r="AB32" s="62">
        <v>12.254</v>
      </c>
      <c r="AC32" s="62">
        <v>12.651</v>
      </c>
      <c r="AD32" s="62">
        <v>11.544</v>
      </c>
    </row>
    <row r="33" spans="1:30" x14ac:dyDescent="0.2">
      <c r="A33" s="62">
        <v>32</v>
      </c>
      <c r="B33" s="62">
        <v>337</v>
      </c>
      <c r="C33" s="62">
        <v>11.932</v>
      </c>
      <c r="D33" s="62">
        <v>9.6210000000000004</v>
      </c>
      <c r="E33" s="62">
        <v>9.7050000000000001</v>
      </c>
      <c r="F33" s="62">
        <v>8.9649999999999999</v>
      </c>
      <c r="G33" s="62">
        <v>10.064</v>
      </c>
      <c r="H33" s="62">
        <v>11.769</v>
      </c>
      <c r="I33" s="62">
        <v>12.228</v>
      </c>
      <c r="J33" s="62">
        <v>15.289</v>
      </c>
      <c r="K33" s="62">
        <v>15.981</v>
      </c>
      <c r="L33" s="62">
        <v>17.922999999999998</v>
      </c>
      <c r="M33" s="62">
        <v>16.93</v>
      </c>
      <c r="N33" s="62">
        <v>15.436999999999999</v>
      </c>
      <c r="O33" s="62">
        <v>14.88</v>
      </c>
      <c r="P33" s="62">
        <v>17.72</v>
      </c>
      <c r="Q33" s="62">
        <v>15.276</v>
      </c>
      <c r="R33" s="62">
        <v>16.266999999999999</v>
      </c>
      <c r="S33" s="62">
        <v>17.707000000000001</v>
      </c>
      <c r="T33" s="62">
        <v>15.132</v>
      </c>
      <c r="U33" s="62">
        <v>14.346</v>
      </c>
      <c r="V33" s="62">
        <v>15.913</v>
      </c>
      <c r="W33" s="62">
        <v>17.896000000000001</v>
      </c>
      <c r="X33" s="62">
        <v>17.265999999999998</v>
      </c>
      <c r="Y33" s="62">
        <v>15.744</v>
      </c>
      <c r="Z33" s="62">
        <v>14.188000000000001</v>
      </c>
      <c r="AA33" s="62">
        <v>14.329000000000001</v>
      </c>
      <c r="AB33" s="62">
        <v>16.071999999999999</v>
      </c>
      <c r="AC33" s="62">
        <v>17.341999999999999</v>
      </c>
      <c r="AD33" s="62">
        <v>16.504999999999999</v>
      </c>
    </row>
    <row r="34" spans="1:30" x14ac:dyDescent="0.2">
      <c r="A34" s="62">
        <v>33</v>
      </c>
      <c r="B34" s="62">
        <v>322</v>
      </c>
      <c r="C34" s="62">
        <v>331.19</v>
      </c>
      <c r="D34" s="62">
        <v>338.39800000000002</v>
      </c>
      <c r="E34" s="62">
        <v>353.77600000000001</v>
      </c>
      <c r="F34" s="62">
        <v>360.42</v>
      </c>
      <c r="G34" s="62">
        <v>374.54199999999997</v>
      </c>
      <c r="H34" s="62">
        <v>374.58300000000003</v>
      </c>
      <c r="I34" s="62">
        <v>399.327</v>
      </c>
      <c r="J34" s="62">
        <v>422.79599999999999</v>
      </c>
      <c r="K34" s="62">
        <v>449.89800000000002</v>
      </c>
      <c r="L34" s="62">
        <v>453.464</v>
      </c>
      <c r="M34" s="62">
        <v>460.52100000000002</v>
      </c>
      <c r="N34" s="62">
        <v>488.65</v>
      </c>
      <c r="O34" s="62">
        <v>470.52499999999998</v>
      </c>
      <c r="P34" s="62">
        <v>518.90099999999995</v>
      </c>
      <c r="Q34" s="62">
        <v>530.55899999999997</v>
      </c>
      <c r="R34" s="62">
        <v>488.96199999999999</v>
      </c>
      <c r="S34" s="62">
        <v>497.83300000000003</v>
      </c>
      <c r="T34" s="62">
        <v>466.49900000000002</v>
      </c>
      <c r="U34" s="62">
        <v>503.678</v>
      </c>
      <c r="V34" s="62">
        <v>507.06700000000001</v>
      </c>
      <c r="W34" s="62">
        <v>478.19499999999999</v>
      </c>
      <c r="X34" s="62">
        <v>496.65300000000002</v>
      </c>
      <c r="Y34" s="62">
        <v>479.42</v>
      </c>
      <c r="Z34" s="62">
        <v>466.34500000000003</v>
      </c>
      <c r="AA34" s="62">
        <v>467.13600000000002</v>
      </c>
      <c r="AB34" s="62">
        <v>514.96400000000006</v>
      </c>
      <c r="AC34" s="62">
        <v>510.45</v>
      </c>
      <c r="AD34" s="62">
        <v>502.95400000000001</v>
      </c>
    </row>
    <row r="35" spans="1:30" x14ac:dyDescent="0.2">
      <c r="A35" s="62">
        <v>34</v>
      </c>
      <c r="B35" s="62">
        <v>322</v>
      </c>
      <c r="C35" s="62">
        <v>808.17899999999997</v>
      </c>
      <c r="D35" s="62">
        <v>867.33500000000004</v>
      </c>
      <c r="E35" s="62">
        <v>878.36599999999999</v>
      </c>
      <c r="F35" s="62">
        <v>891.98099999999999</v>
      </c>
      <c r="G35" s="62">
        <v>953.14400000000001</v>
      </c>
      <c r="H35" s="62">
        <v>1000.553</v>
      </c>
      <c r="I35" s="62">
        <v>1047.5050000000001</v>
      </c>
      <c r="J35" s="62">
        <v>1118.395</v>
      </c>
      <c r="K35" s="62">
        <v>1189.94</v>
      </c>
      <c r="L35" s="62">
        <v>1182.8620000000001</v>
      </c>
      <c r="M35" s="62">
        <v>1277.5219999999999</v>
      </c>
      <c r="N35" s="62">
        <v>1344.67</v>
      </c>
      <c r="O35" s="62">
        <v>1323.3610000000001</v>
      </c>
      <c r="P35" s="62">
        <v>1379.5609999999999</v>
      </c>
      <c r="Q35" s="62">
        <v>1459.548</v>
      </c>
      <c r="R35" s="62">
        <v>1469.5250000000001</v>
      </c>
      <c r="S35" s="62">
        <v>1486.575</v>
      </c>
      <c r="T35" s="62">
        <v>1357.7950000000001</v>
      </c>
      <c r="U35" s="62">
        <v>1492.9369999999999</v>
      </c>
      <c r="V35" s="62">
        <v>1541.2650000000001</v>
      </c>
      <c r="W35" s="62">
        <v>1627.2819999999999</v>
      </c>
      <c r="X35" s="62">
        <v>1606.0309999999999</v>
      </c>
      <c r="Y35" s="62">
        <v>1567.413</v>
      </c>
      <c r="Z35" s="62">
        <v>1627.885</v>
      </c>
      <c r="AA35" s="62">
        <v>1518.586</v>
      </c>
      <c r="AB35" s="62">
        <v>1650.7660000000001</v>
      </c>
      <c r="AC35" s="62">
        <v>1725.729</v>
      </c>
      <c r="AD35" s="62">
        <v>1670.8140000000001</v>
      </c>
    </row>
    <row r="36" spans="1:30" x14ac:dyDescent="0.2">
      <c r="A36" s="62">
        <v>35</v>
      </c>
      <c r="B36" s="62">
        <v>322</v>
      </c>
      <c r="C36" s="62">
        <v>27.766999999999999</v>
      </c>
      <c r="D36" s="62">
        <v>28.431000000000001</v>
      </c>
      <c r="E36" s="62">
        <v>29.952000000000002</v>
      </c>
      <c r="F36" s="62">
        <v>29.559000000000001</v>
      </c>
      <c r="G36" s="62">
        <v>31.349</v>
      </c>
      <c r="H36" s="62">
        <v>31.882999999999999</v>
      </c>
      <c r="I36" s="62">
        <v>33.454999999999998</v>
      </c>
      <c r="J36" s="62">
        <v>35.853999999999999</v>
      </c>
      <c r="K36" s="62">
        <v>37.536999999999999</v>
      </c>
      <c r="L36" s="62">
        <v>38.021000000000001</v>
      </c>
      <c r="M36" s="62">
        <v>40.643000000000001</v>
      </c>
      <c r="N36" s="62">
        <v>43.045000000000002</v>
      </c>
      <c r="O36" s="62">
        <v>45.42</v>
      </c>
      <c r="P36" s="62">
        <v>48.076999999999998</v>
      </c>
      <c r="Q36" s="62">
        <v>46.353999999999999</v>
      </c>
      <c r="R36" s="62">
        <v>41.692</v>
      </c>
      <c r="S36" s="62">
        <v>35.479999999999997</v>
      </c>
      <c r="T36" s="62">
        <v>34.951000000000001</v>
      </c>
      <c r="U36" s="62">
        <v>37.094000000000001</v>
      </c>
      <c r="V36" s="62">
        <v>39.613999999999997</v>
      </c>
      <c r="W36" s="62">
        <v>41.564999999999998</v>
      </c>
      <c r="X36" s="62">
        <v>40.192999999999998</v>
      </c>
      <c r="Y36" s="62">
        <v>39.875</v>
      </c>
      <c r="Z36" s="62">
        <v>39.83</v>
      </c>
      <c r="AA36" s="62">
        <v>38.901000000000003</v>
      </c>
      <c r="AB36" s="62">
        <v>45.383000000000003</v>
      </c>
      <c r="AC36" s="62">
        <v>43.543999999999997</v>
      </c>
      <c r="AD36" s="62">
        <v>39.067999999999998</v>
      </c>
    </row>
    <row r="37" spans="1:30" x14ac:dyDescent="0.2">
      <c r="A37" s="62">
        <v>36</v>
      </c>
      <c r="B37" s="62">
        <v>323</v>
      </c>
      <c r="C37" s="62">
        <v>28.506</v>
      </c>
      <c r="D37" s="62">
        <v>25.885000000000002</v>
      </c>
      <c r="E37" s="62">
        <v>27.533999999999999</v>
      </c>
      <c r="F37" s="62">
        <v>27.466999999999999</v>
      </c>
      <c r="G37" s="62">
        <v>30.701000000000001</v>
      </c>
      <c r="H37" s="62">
        <v>30.968</v>
      </c>
      <c r="I37" s="62">
        <v>33.311999999999998</v>
      </c>
      <c r="J37" s="62">
        <v>36.149000000000001</v>
      </c>
      <c r="K37" s="62">
        <v>38.834000000000003</v>
      </c>
      <c r="L37" s="62">
        <v>43.637999999999998</v>
      </c>
      <c r="M37" s="62">
        <v>49.350999999999999</v>
      </c>
      <c r="N37" s="62">
        <v>55.859000000000002</v>
      </c>
      <c r="O37" s="62">
        <v>60.798999999999999</v>
      </c>
      <c r="P37" s="62">
        <v>58.165999999999997</v>
      </c>
      <c r="Q37" s="62">
        <v>56.883000000000003</v>
      </c>
      <c r="R37" s="62">
        <v>53.048000000000002</v>
      </c>
      <c r="S37" s="62">
        <v>43.956000000000003</v>
      </c>
      <c r="T37" s="62">
        <v>47.404000000000003</v>
      </c>
      <c r="U37" s="62">
        <v>38.405999999999999</v>
      </c>
      <c r="V37" s="62">
        <v>46.491999999999997</v>
      </c>
      <c r="W37" s="62">
        <v>46.761000000000003</v>
      </c>
      <c r="X37" s="62">
        <v>51.27</v>
      </c>
      <c r="Y37" s="62">
        <v>49.938000000000002</v>
      </c>
      <c r="Z37" s="62">
        <v>49.947000000000003</v>
      </c>
      <c r="AA37" s="62">
        <v>52.484999999999999</v>
      </c>
      <c r="AB37" s="62">
        <v>55.146999999999998</v>
      </c>
      <c r="AC37" s="62">
        <v>60.213000000000001</v>
      </c>
      <c r="AD37" s="62">
        <v>51.106999999999999</v>
      </c>
    </row>
    <row r="38" spans="1:30" x14ac:dyDescent="0.2">
      <c r="A38" s="62">
        <v>37</v>
      </c>
      <c r="B38" s="62">
        <v>325</v>
      </c>
      <c r="C38" s="62">
        <v>838.55600000000004</v>
      </c>
      <c r="D38" s="62">
        <v>952.57299999999998</v>
      </c>
      <c r="E38" s="62">
        <v>1001.746</v>
      </c>
      <c r="F38" s="62">
        <v>1003.042</v>
      </c>
      <c r="G38" s="62">
        <v>1076.2919999999999</v>
      </c>
      <c r="H38" s="62">
        <v>1162.461</v>
      </c>
      <c r="I38" s="62">
        <v>1227.078</v>
      </c>
      <c r="J38" s="62">
        <v>1323.5050000000001</v>
      </c>
      <c r="K38" s="62">
        <v>1420.989</v>
      </c>
      <c r="L38" s="62">
        <v>1455.5319999999999</v>
      </c>
      <c r="M38" s="62">
        <v>1478.8489999999999</v>
      </c>
      <c r="N38" s="62">
        <v>1475.702</v>
      </c>
      <c r="O38" s="62">
        <v>1467.6690000000001</v>
      </c>
      <c r="P38" s="62">
        <v>1470.566</v>
      </c>
      <c r="Q38" s="62">
        <v>1439.6669999999999</v>
      </c>
      <c r="R38" s="62">
        <v>1451.249</v>
      </c>
      <c r="S38" s="62">
        <v>1618.7809999999999</v>
      </c>
      <c r="T38" s="62">
        <v>1396.739</v>
      </c>
      <c r="U38" s="62">
        <v>1518.626</v>
      </c>
      <c r="V38" s="62">
        <v>1481.077</v>
      </c>
      <c r="W38" s="62">
        <v>1379.6</v>
      </c>
      <c r="X38" s="62">
        <v>1386.829</v>
      </c>
      <c r="Y38" s="62">
        <v>1292.4490000000001</v>
      </c>
      <c r="Z38" s="62">
        <v>1203.2840000000001</v>
      </c>
      <c r="AA38" s="62">
        <v>1070.866</v>
      </c>
      <c r="AB38" s="62">
        <v>1125.414</v>
      </c>
      <c r="AC38" s="62">
        <v>1160.8910000000001</v>
      </c>
      <c r="AD38" s="62">
        <v>932.798</v>
      </c>
    </row>
    <row r="39" spans="1:30" x14ac:dyDescent="0.2">
      <c r="A39" s="62">
        <v>38</v>
      </c>
      <c r="B39" s="62">
        <v>325</v>
      </c>
      <c r="C39" s="62">
        <v>13.587</v>
      </c>
      <c r="D39" s="62">
        <v>16.82</v>
      </c>
      <c r="E39" s="62">
        <v>21.484999999999999</v>
      </c>
      <c r="F39" s="62">
        <v>26.169</v>
      </c>
      <c r="G39" s="62">
        <v>32.780999999999999</v>
      </c>
      <c r="H39" s="62">
        <v>35.43</v>
      </c>
      <c r="I39" s="62">
        <v>39.863999999999997</v>
      </c>
      <c r="J39" s="62">
        <v>48.453000000000003</v>
      </c>
      <c r="K39" s="62">
        <v>51.238</v>
      </c>
      <c r="L39" s="62">
        <v>61.776000000000003</v>
      </c>
      <c r="M39" s="62">
        <v>69.549000000000007</v>
      </c>
      <c r="N39" s="62">
        <v>84.203000000000003</v>
      </c>
      <c r="O39" s="62">
        <v>91.227999999999994</v>
      </c>
      <c r="P39" s="62">
        <v>100.18600000000001</v>
      </c>
      <c r="Q39" s="62">
        <v>166.92599999999999</v>
      </c>
      <c r="R39" s="62">
        <v>221.643</v>
      </c>
      <c r="S39" s="62">
        <v>287.45499999999998</v>
      </c>
      <c r="T39" s="62">
        <v>338.54300000000001</v>
      </c>
      <c r="U39" s="62">
        <v>340.32799999999997</v>
      </c>
      <c r="V39" s="62">
        <v>287.74799999999999</v>
      </c>
      <c r="W39" s="62">
        <v>312.00099999999998</v>
      </c>
      <c r="X39" s="62">
        <v>286.50099999999998</v>
      </c>
      <c r="Y39" s="62">
        <v>292.63200000000001</v>
      </c>
      <c r="Z39" s="62">
        <v>298.37799999999999</v>
      </c>
      <c r="AA39" s="62">
        <v>226.62799999999999</v>
      </c>
      <c r="AB39" s="62">
        <v>194.24299999999999</v>
      </c>
      <c r="AC39" s="62">
        <v>222.53899999999999</v>
      </c>
      <c r="AD39" s="62">
        <v>211.65799999999999</v>
      </c>
    </row>
    <row r="40" spans="1:30" x14ac:dyDescent="0.2">
      <c r="A40" s="62">
        <v>39</v>
      </c>
      <c r="B40" s="62">
        <v>325</v>
      </c>
      <c r="C40" s="62">
        <v>6.4050000000000002</v>
      </c>
      <c r="D40" s="62">
        <v>5.7690000000000001</v>
      </c>
      <c r="E40" s="62">
        <v>4.8659999999999997</v>
      </c>
      <c r="F40" s="62">
        <v>3.9409999999999998</v>
      </c>
      <c r="G40" s="62">
        <v>3.0579999999999998</v>
      </c>
      <c r="H40" s="62">
        <v>3.56</v>
      </c>
      <c r="I40" s="62">
        <v>4.1790000000000003</v>
      </c>
      <c r="J40" s="62">
        <v>5.2210000000000001</v>
      </c>
      <c r="K40" s="62">
        <v>5.64</v>
      </c>
      <c r="L40" s="62">
        <v>6.3920000000000003</v>
      </c>
      <c r="M40" s="62">
        <v>7.3120000000000003</v>
      </c>
      <c r="N40" s="62">
        <v>8.7880000000000003</v>
      </c>
      <c r="O40" s="62">
        <v>9.9789999999999992</v>
      </c>
      <c r="P40" s="62">
        <v>11.564</v>
      </c>
      <c r="Q40" s="62">
        <v>13.782999999999999</v>
      </c>
      <c r="R40" s="62">
        <v>14.852</v>
      </c>
      <c r="S40" s="62">
        <v>11.097</v>
      </c>
      <c r="T40" s="62">
        <v>12.180999999999999</v>
      </c>
      <c r="U40" s="62">
        <v>23.44</v>
      </c>
      <c r="V40" s="62">
        <v>21.99</v>
      </c>
      <c r="W40" s="62">
        <v>20.744</v>
      </c>
      <c r="X40" s="62">
        <v>19.193000000000001</v>
      </c>
      <c r="Y40" s="62">
        <v>18.645</v>
      </c>
      <c r="Z40" s="62">
        <v>36.232999999999997</v>
      </c>
      <c r="AA40" s="62">
        <v>33.012</v>
      </c>
      <c r="AB40" s="62">
        <v>33.392000000000003</v>
      </c>
      <c r="AC40" s="62">
        <v>43.356999999999999</v>
      </c>
      <c r="AD40" s="62">
        <v>37.337000000000003</v>
      </c>
    </row>
    <row r="41" spans="1:30" x14ac:dyDescent="0.2">
      <c r="A41" s="62">
        <v>40</v>
      </c>
      <c r="B41" s="62">
        <v>325</v>
      </c>
      <c r="C41" s="62">
        <v>74.094999999999999</v>
      </c>
      <c r="D41" s="62">
        <v>70.805999999999997</v>
      </c>
      <c r="E41" s="62">
        <v>69.233000000000004</v>
      </c>
      <c r="F41" s="62">
        <v>67.426000000000002</v>
      </c>
      <c r="G41" s="62">
        <v>69.819000000000003</v>
      </c>
      <c r="H41" s="62">
        <v>70.977000000000004</v>
      </c>
      <c r="I41" s="62">
        <v>77.777000000000001</v>
      </c>
      <c r="J41" s="62">
        <v>93.491</v>
      </c>
      <c r="K41" s="62">
        <v>95.593000000000004</v>
      </c>
      <c r="L41" s="62">
        <v>104.596</v>
      </c>
      <c r="M41" s="62">
        <v>104.027</v>
      </c>
      <c r="N41" s="62">
        <v>135.381</v>
      </c>
      <c r="O41" s="62">
        <v>104.645</v>
      </c>
      <c r="P41" s="62">
        <v>110.114</v>
      </c>
      <c r="Q41" s="62">
        <v>113.38</v>
      </c>
      <c r="R41" s="62">
        <v>108.898</v>
      </c>
      <c r="S41" s="62">
        <v>110.41</v>
      </c>
      <c r="T41" s="62">
        <v>97.302999999999997</v>
      </c>
      <c r="U41" s="62">
        <v>105.423</v>
      </c>
      <c r="V41" s="62">
        <v>113.83499999999999</v>
      </c>
      <c r="W41" s="62">
        <v>108.512</v>
      </c>
      <c r="X41" s="62">
        <v>111.998</v>
      </c>
      <c r="Y41" s="62">
        <v>85.263000000000005</v>
      </c>
      <c r="Z41" s="62">
        <v>82.652000000000001</v>
      </c>
      <c r="AA41" s="62">
        <v>80.736999999999995</v>
      </c>
      <c r="AB41" s="62">
        <v>82.046000000000006</v>
      </c>
      <c r="AC41" s="62">
        <v>83.144000000000005</v>
      </c>
      <c r="AD41" s="62">
        <v>75.41</v>
      </c>
    </row>
    <row r="42" spans="1:30" x14ac:dyDescent="0.2">
      <c r="A42" s="62">
        <v>41</v>
      </c>
      <c r="B42" s="62">
        <v>325</v>
      </c>
      <c r="C42" s="62">
        <v>67.706000000000003</v>
      </c>
      <c r="D42" s="62">
        <v>68.266000000000005</v>
      </c>
      <c r="E42" s="62">
        <v>63.363999999999997</v>
      </c>
      <c r="F42" s="62">
        <v>59.036999999999999</v>
      </c>
      <c r="G42" s="62">
        <v>63.45</v>
      </c>
      <c r="H42" s="62">
        <v>68.555000000000007</v>
      </c>
      <c r="I42" s="62">
        <v>73.218000000000004</v>
      </c>
      <c r="J42" s="62">
        <v>81.691000000000003</v>
      </c>
      <c r="K42" s="62">
        <v>87.927000000000007</v>
      </c>
      <c r="L42" s="62">
        <v>92.728999999999999</v>
      </c>
      <c r="M42" s="62">
        <v>94.744</v>
      </c>
      <c r="N42" s="62">
        <v>102.152</v>
      </c>
      <c r="O42" s="62">
        <v>103.191</v>
      </c>
      <c r="P42" s="62">
        <v>112.13500000000001</v>
      </c>
      <c r="Q42" s="62">
        <v>124.961</v>
      </c>
      <c r="R42" s="62">
        <v>121.464</v>
      </c>
      <c r="S42" s="62">
        <v>134.84800000000001</v>
      </c>
      <c r="T42" s="62">
        <v>128.839</v>
      </c>
      <c r="U42" s="62">
        <v>125.855</v>
      </c>
      <c r="V42" s="62">
        <v>131.678</v>
      </c>
      <c r="W42" s="62">
        <v>125.702</v>
      </c>
      <c r="X42" s="62">
        <v>140.96</v>
      </c>
      <c r="Y42" s="62">
        <v>137.101</v>
      </c>
      <c r="Z42" s="62">
        <v>128.88300000000001</v>
      </c>
      <c r="AA42" s="62">
        <v>141.54499999999999</v>
      </c>
      <c r="AB42" s="62">
        <v>159.48599999999999</v>
      </c>
      <c r="AC42" s="62">
        <v>174.2</v>
      </c>
      <c r="AD42" s="62">
        <v>168.435</v>
      </c>
    </row>
    <row r="43" spans="1:30" x14ac:dyDescent="0.2">
      <c r="A43" s="62">
        <v>42</v>
      </c>
      <c r="B43" s="62">
        <v>325</v>
      </c>
      <c r="C43" s="62">
        <v>13.983000000000001</v>
      </c>
      <c r="D43" s="62">
        <v>17.265000000000001</v>
      </c>
      <c r="E43" s="62">
        <v>18.596</v>
      </c>
      <c r="F43" s="62">
        <v>20.146999999999998</v>
      </c>
      <c r="G43" s="62">
        <v>25.164999999999999</v>
      </c>
      <c r="H43" s="62">
        <v>28.372</v>
      </c>
      <c r="I43" s="62">
        <v>31.334</v>
      </c>
      <c r="J43" s="62">
        <v>36.673000000000002</v>
      </c>
      <c r="K43" s="62">
        <v>41.862000000000002</v>
      </c>
      <c r="L43" s="62">
        <v>46.715000000000003</v>
      </c>
      <c r="M43" s="62">
        <v>48.792999999999999</v>
      </c>
      <c r="N43" s="62">
        <v>52.185000000000002</v>
      </c>
      <c r="O43" s="62">
        <v>54.457999999999998</v>
      </c>
      <c r="P43" s="62">
        <v>57.625999999999998</v>
      </c>
      <c r="Q43" s="62">
        <v>46.131999999999998</v>
      </c>
      <c r="R43" s="62">
        <v>43.033000000000001</v>
      </c>
      <c r="S43" s="62">
        <v>58.045999999999999</v>
      </c>
      <c r="T43" s="62">
        <v>19.626000000000001</v>
      </c>
      <c r="U43" s="62">
        <v>22.206</v>
      </c>
      <c r="V43" s="62">
        <v>22.545000000000002</v>
      </c>
      <c r="W43" s="62">
        <v>18.614999999999998</v>
      </c>
      <c r="X43" s="62">
        <v>35.35</v>
      </c>
      <c r="Y43" s="62">
        <v>31.077999999999999</v>
      </c>
      <c r="Z43" s="62">
        <v>35.24</v>
      </c>
      <c r="AA43" s="62">
        <v>44.716000000000001</v>
      </c>
      <c r="AB43" s="62">
        <v>41.935000000000002</v>
      </c>
      <c r="AC43" s="62">
        <v>39.314999999999998</v>
      </c>
      <c r="AD43" s="62">
        <v>30.513999999999999</v>
      </c>
    </row>
    <row r="44" spans="1:30" x14ac:dyDescent="0.2">
      <c r="A44" s="62">
        <v>43</v>
      </c>
      <c r="B44" s="62">
        <v>325</v>
      </c>
      <c r="C44" s="62">
        <v>109.315</v>
      </c>
      <c r="D44" s="62">
        <v>116.40300000000001</v>
      </c>
      <c r="E44" s="62">
        <v>113.94799999999999</v>
      </c>
      <c r="F44" s="62">
        <v>111.294</v>
      </c>
      <c r="G44" s="62">
        <v>128.774</v>
      </c>
      <c r="H44" s="62">
        <v>131.005</v>
      </c>
      <c r="I44" s="62">
        <v>137.09200000000001</v>
      </c>
      <c r="J44" s="62">
        <v>154.369</v>
      </c>
      <c r="K44" s="62">
        <v>163.262</v>
      </c>
      <c r="L44" s="62">
        <v>170.56800000000001</v>
      </c>
      <c r="M44" s="62">
        <v>171.654</v>
      </c>
      <c r="N44" s="62">
        <v>183.07300000000001</v>
      </c>
      <c r="O44" s="62">
        <v>184.68100000000001</v>
      </c>
      <c r="P44" s="62">
        <v>207.31399999999999</v>
      </c>
      <c r="Q44" s="62">
        <v>176.489</v>
      </c>
      <c r="R44" s="62">
        <v>166.50399999999999</v>
      </c>
      <c r="S44" s="62">
        <v>208.905</v>
      </c>
      <c r="T44" s="62">
        <v>154.405</v>
      </c>
      <c r="U44" s="62">
        <v>146.54</v>
      </c>
      <c r="V44" s="62">
        <v>165.661</v>
      </c>
      <c r="W44" s="62">
        <v>155.03899999999999</v>
      </c>
      <c r="X44" s="62">
        <v>160.40700000000001</v>
      </c>
      <c r="Y44" s="62">
        <v>142.76900000000001</v>
      </c>
      <c r="Z44" s="62">
        <v>152.239</v>
      </c>
      <c r="AA44" s="62">
        <v>125.712</v>
      </c>
      <c r="AB44" s="62">
        <v>138.428</v>
      </c>
      <c r="AC44" s="62">
        <v>132.72</v>
      </c>
      <c r="AD44" s="62">
        <v>117.307</v>
      </c>
    </row>
    <row r="45" spans="1:30" x14ac:dyDescent="0.2">
      <c r="A45" s="62">
        <v>44</v>
      </c>
      <c r="B45" s="62">
        <v>325</v>
      </c>
      <c r="C45" s="62">
        <v>60.097999999999999</v>
      </c>
      <c r="D45" s="62">
        <v>58.734000000000002</v>
      </c>
      <c r="E45" s="62">
        <v>60.779000000000003</v>
      </c>
      <c r="F45" s="62">
        <v>60.914999999999999</v>
      </c>
      <c r="G45" s="62">
        <v>62.442</v>
      </c>
      <c r="H45" s="62">
        <v>61.912999999999997</v>
      </c>
      <c r="I45" s="62">
        <v>64.581000000000003</v>
      </c>
      <c r="J45" s="62">
        <v>72.912999999999997</v>
      </c>
      <c r="K45" s="62">
        <v>70.340999999999994</v>
      </c>
      <c r="L45" s="62">
        <v>72.441000000000003</v>
      </c>
      <c r="M45" s="62">
        <v>76.096000000000004</v>
      </c>
      <c r="N45" s="62">
        <v>106.902</v>
      </c>
      <c r="O45" s="62">
        <v>84.027000000000001</v>
      </c>
      <c r="P45" s="62">
        <v>94.906000000000006</v>
      </c>
      <c r="Q45" s="62">
        <v>95.322999999999993</v>
      </c>
      <c r="R45" s="62">
        <v>87.093999999999994</v>
      </c>
      <c r="S45" s="62">
        <v>95.353999999999999</v>
      </c>
      <c r="T45" s="62">
        <v>88.010999999999996</v>
      </c>
      <c r="U45" s="62">
        <v>89.180999999999997</v>
      </c>
      <c r="V45" s="62">
        <v>88.594999999999999</v>
      </c>
      <c r="W45" s="62">
        <v>90.459000000000003</v>
      </c>
      <c r="X45" s="62">
        <v>89.820999999999998</v>
      </c>
      <c r="Y45" s="62">
        <v>96.552999999999997</v>
      </c>
      <c r="Z45" s="62">
        <v>99.341999999999999</v>
      </c>
      <c r="AA45" s="62">
        <v>99.677000000000007</v>
      </c>
      <c r="AB45" s="62">
        <v>108.858</v>
      </c>
      <c r="AC45" s="62">
        <v>107.021</v>
      </c>
      <c r="AD45" s="62">
        <v>96.655000000000001</v>
      </c>
    </row>
    <row r="46" spans="1:30" x14ac:dyDescent="0.2">
      <c r="A46" s="62">
        <v>45</v>
      </c>
      <c r="B46" s="62">
        <v>325</v>
      </c>
      <c r="C46" s="62">
        <v>10.391999999999999</v>
      </c>
      <c r="D46" s="62">
        <v>9.2989999999999995</v>
      </c>
      <c r="E46" s="62">
        <v>8.8350000000000009</v>
      </c>
      <c r="F46" s="62">
        <v>8.1150000000000002</v>
      </c>
      <c r="G46" s="62">
        <v>7.5650000000000004</v>
      </c>
      <c r="H46" s="62">
        <v>7.7359999999999998</v>
      </c>
      <c r="I46" s="62">
        <v>8.2520000000000007</v>
      </c>
      <c r="J46" s="62">
        <v>9.3849999999999998</v>
      </c>
      <c r="K46" s="62">
        <v>9.452</v>
      </c>
      <c r="L46" s="62">
        <v>10.715</v>
      </c>
      <c r="M46" s="62">
        <v>10.516</v>
      </c>
      <c r="N46" s="62">
        <v>13.548999999999999</v>
      </c>
      <c r="O46" s="62">
        <v>10.522</v>
      </c>
      <c r="P46" s="62">
        <v>10.385</v>
      </c>
      <c r="Q46" s="62">
        <v>11.627000000000001</v>
      </c>
      <c r="R46" s="62">
        <v>8.6129999999999995</v>
      </c>
      <c r="S46" s="62">
        <v>8.0749999999999993</v>
      </c>
      <c r="T46" s="62">
        <v>11.351000000000001</v>
      </c>
      <c r="U46" s="62">
        <v>9.4809999999999999</v>
      </c>
      <c r="V46" s="62">
        <v>9.9870000000000001</v>
      </c>
      <c r="W46" s="62">
        <v>14.911</v>
      </c>
      <c r="X46" s="62">
        <v>11.154999999999999</v>
      </c>
      <c r="Y46" s="62">
        <v>11.773</v>
      </c>
      <c r="Z46" s="62">
        <v>10.867000000000001</v>
      </c>
      <c r="AA46" s="62">
        <v>9.8460000000000001</v>
      </c>
      <c r="AB46" s="62">
        <v>16.571000000000002</v>
      </c>
      <c r="AC46" s="62">
        <v>12.733000000000001</v>
      </c>
      <c r="AD46" s="62">
        <v>12.529</v>
      </c>
    </row>
    <row r="47" spans="1:30" x14ac:dyDescent="0.2">
      <c r="A47" s="62">
        <v>46</v>
      </c>
      <c r="B47" s="62">
        <v>324</v>
      </c>
      <c r="C47" s="62">
        <v>1927.6690000000001</v>
      </c>
      <c r="D47" s="62">
        <v>2025.4860000000001</v>
      </c>
      <c r="E47" s="62">
        <v>2079.413</v>
      </c>
      <c r="F47" s="62">
        <v>2096.5740000000001</v>
      </c>
      <c r="G47" s="62">
        <v>2150.0210000000002</v>
      </c>
      <c r="H47" s="62">
        <v>2165.9560000000001</v>
      </c>
      <c r="I47" s="62">
        <v>2226.663</v>
      </c>
      <c r="J47" s="62">
        <v>2257.5219999999999</v>
      </c>
      <c r="K47" s="62">
        <v>2285.0010000000002</v>
      </c>
      <c r="L47" s="62">
        <v>2315.0500000000002</v>
      </c>
      <c r="M47" s="62">
        <v>2468.1489999999999</v>
      </c>
      <c r="N47" s="62">
        <v>2556.5630000000001</v>
      </c>
      <c r="O47" s="62">
        <v>2582.654</v>
      </c>
      <c r="P47" s="62">
        <v>2579.3409999999999</v>
      </c>
      <c r="Q47" s="62">
        <v>2710.4720000000002</v>
      </c>
      <c r="R47" s="62">
        <v>2864.6350000000002</v>
      </c>
      <c r="S47" s="62">
        <v>2825.1219999999998</v>
      </c>
      <c r="T47" s="62">
        <v>2683.732</v>
      </c>
      <c r="U47" s="62">
        <v>2782</v>
      </c>
      <c r="V47" s="62">
        <v>2868.5970000000002</v>
      </c>
      <c r="W47" s="62">
        <v>2849.5619999999999</v>
      </c>
      <c r="X47" s="62">
        <v>2807.4609999999998</v>
      </c>
      <c r="Y47" s="62">
        <v>2698.297</v>
      </c>
      <c r="Z47" s="62">
        <v>2263.9989999999998</v>
      </c>
      <c r="AA47" s="62">
        <v>2240.3649999999998</v>
      </c>
      <c r="AB47" s="62">
        <v>2265.701</v>
      </c>
      <c r="AC47" s="62">
        <v>2296.0949999999998</v>
      </c>
      <c r="AD47" s="62">
        <v>2322.835</v>
      </c>
    </row>
    <row r="48" spans="1:30" x14ac:dyDescent="0.2">
      <c r="A48" s="62">
        <v>47</v>
      </c>
      <c r="B48" s="62">
        <v>324</v>
      </c>
      <c r="C48" s="62">
        <v>5.899</v>
      </c>
      <c r="D48" s="62">
        <v>7.0720000000000001</v>
      </c>
      <c r="E48" s="62">
        <v>7.6349999999999998</v>
      </c>
      <c r="F48" s="62">
        <v>6.5780000000000003</v>
      </c>
      <c r="G48" s="62">
        <v>5.7809999999999997</v>
      </c>
      <c r="H48" s="62">
        <v>7.0419999999999998</v>
      </c>
      <c r="I48" s="62">
        <v>7.1349999999999998</v>
      </c>
      <c r="J48" s="62">
        <v>7.2240000000000002</v>
      </c>
      <c r="K48" s="62">
        <v>7.4059999999999997</v>
      </c>
      <c r="L48" s="62">
        <v>8.7929999999999993</v>
      </c>
      <c r="M48" s="62">
        <v>8.1929999999999996</v>
      </c>
      <c r="N48" s="62">
        <v>8.718</v>
      </c>
      <c r="O48" s="62">
        <v>10.206</v>
      </c>
      <c r="P48" s="62">
        <v>11.535</v>
      </c>
      <c r="Q48" s="62">
        <v>13.09</v>
      </c>
      <c r="R48" s="62">
        <v>12.303000000000001</v>
      </c>
      <c r="S48" s="62">
        <v>14.932</v>
      </c>
      <c r="T48" s="62">
        <v>15.122</v>
      </c>
      <c r="U48" s="62">
        <v>12.122999999999999</v>
      </c>
      <c r="V48" s="62">
        <v>12.702</v>
      </c>
      <c r="W48" s="62">
        <v>12.565</v>
      </c>
      <c r="X48" s="62">
        <v>12.651</v>
      </c>
      <c r="Y48" s="62">
        <v>12.032</v>
      </c>
      <c r="Z48" s="62">
        <v>12.226000000000001</v>
      </c>
      <c r="AA48" s="62">
        <v>10.881</v>
      </c>
      <c r="AB48" s="62">
        <v>8.625</v>
      </c>
      <c r="AC48" s="62">
        <v>9.6649999999999991</v>
      </c>
      <c r="AD48" s="62">
        <v>7.806</v>
      </c>
    </row>
    <row r="49" spans="1:30" x14ac:dyDescent="0.2">
      <c r="A49" s="62">
        <v>48</v>
      </c>
      <c r="B49" s="62">
        <v>324</v>
      </c>
      <c r="C49" s="62">
        <v>24.532</v>
      </c>
      <c r="D49" s="62">
        <v>30.800999999999998</v>
      </c>
      <c r="E49" s="62">
        <v>35.457000000000001</v>
      </c>
      <c r="F49" s="62">
        <v>32.878999999999998</v>
      </c>
      <c r="G49" s="62">
        <v>31.895</v>
      </c>
      <c r="H49" s="62">
        <v>35.988</v>
      </c>
      <c r="I49" s="62">
        <v>37.338999999999999</v>
      </c>
      <c r="J49" s="62">
        <v>38.183999999999997</v>
      </c>
      <c r="K49" s="62">
        <v>39.643000000000001</v>
      </c>
      <c r="L49" s="62">
        <v>47.652000000000001</v>
      </c>
      <c r="M49" s="62">
        <v>40.567</v>
      </c>
      <c r="N49" s="62">
        <v>39.453000000000003</v>
      </c>
      <c r="O49" s="62">
        <v>42.295999999999999</v>
      </c>
      <c r="P49" s="62">
        <v>45.029000000000003</v>
      </c>
      <c r="Q49" s="62">
        <v>49.817</v>
      </c>
      <c r="R49" s="62">
        <v>50.593000000000004</v>
      </c>
      <c r="S49" s="62">
        <v>46.802</v>
      </c>
      <c r="T49" s="62">
        <v>49.106000000000002</v>
      </c>
      <c r="U49" s="62">
        <v>45.037999999999997</v>
      </c>
      <c r="V49" s="62">
        <v>54.63</v>
      </c>
      <c r="W49" s="62">
        <v>64.644000000000005</v>
      </c>
      <c r="X49" s="62">
        <v>60.878999999999998</v>
      </c>
      <c r="Y49" s="62">
        <v>56.179000000000002</v>
      </c>
      <c r="Z49" s="62">
        <v>47.604999999999997</v>
      </c>
      <c r="AA49" s="62">
        <v>52.045000000000002</v>
      </c>
      <c r="AB49" s="62">
        <v>55.362000000000002</v>
      </c>
      <c r="AC49" s="62">
        <v>46.792000000000002</v>
      </c>
      <c r="AD49" s="62">
        <v>46.914000000000001</v>
      </c>
    </row>
    <row r="50" spans="1:30" x14ac:dyDescent="0.2">
      <c r="A50" s="62">
        <v>49</v>
      </c>
      <c r="B50" s="62">
        <v>326</v>
      </c>
      <c r="C50" s="62">
        <v>106.914</v>
      </c>
      <c r="D50" s="62">
        <v>107.295</v>
      </c>
      <c r="E50" s="62">
        <v>109.83799999999999</v>
      </c>
      <c r="F50" s="62">
        <v>105.58199999999999</v>
      </c>
      <c r="G50" s="62">
        <v>114.462</v>
      </c>
      <c r="H50" s="62">
        <v>113.35899999999999</v>
      </c>
      <c r="I50" s="62">
        <v>118.20399999999999</v>
      </c>
      <c r="J50" s="62">
        <v>133.35300000000001</v>
      </c>
      <c r="K50" s="62">
        <v>133.60400000000001</v>
      </c>
      <c r="L50" s="62">
        <v>143.50700000000001</v>
      </c>
      <c r="M50" s="62">
        <v>142.863</v>
      </c>
      <c r="N50" s="62">
        <v>149.965</v>
      </c>
      <c r="O50" s="62">
        <v>153.815</v>
      </c>
      <c r="P50" s="62">
        <v>168.61500000000001</v>
      </c>
      <c r="Q50" s="62">
        <v>202.60300000000001</v>
      </c>
      <c r="R50" s="62">
        <v>192.88800000000001</v>
      </c>
      <c r="S50" s="62">
        <v>177.321</v>
      </c>
      <c r="T50" s="62">
        <v>162.273</v>
      </c>
      <c r="U50" s="62">
        <v>166.16</v>
      </c>
      <c r="V50" s="62">
        <v>189.12100000000001</v>
      </c>
      <c r="W50" s="62">
        <v>177.24</v>
      </c>
      <c r="X50" s="62">
        <v>164.92099999999999</v>
      </c>
      <c r="Y50" s="62">
        <v>143.93700000000001</v>
      </c>
      <c r="Z50" s="62">
        <v>138.56399999999999</v>
      </c>
      <c r="AA50" s="62">
        <v>131.744</v>
      </c>
      <c r="AB50" s="62">
        <v>139.148</v>
      </c>
      <c r="AC50" s="62">
        <v>140.756</v>
      </c>
      <c r="AD50" s="62">
        <v>124.17</v>
      </c>
    </row>
    <row r="51" spans="1:30" x14ac:dyDescent="0.2">
      <c r="A51" s="62">
        <v>50</v>
      </c>
      <c r="B51" s="62">
        <v>315</v>
      </c>
      <c r="C51" s="62">
        <v>20.635999999999999</v>
      </c>
      <c r="D51" s="62">
        <v>18.992999999999999</v>
      </c>
      <c r="E51" s="62">
        <v>20.196999999999999</v>
      </c>
      <c r="F51" s="62">
        <v>18.922999999999998</v>
      </c>
      <c r="G51" s="62">
        <v>19.143000000000001</v>
      </c>
      <c r="H51" s="62">
        <v>17.611999999999998</v>
      </c>
      <c r="I51" s="62">
        <v>17.896999999999998</v>
      </c>
      <c r="J51" s="62">
        <v>19.545000000000002</v>
      </c>
      <c r="K51" s="62">
        <v>19.832999999999998</v>
      </c>
      <c r="L51" s="62">
        <v>19.52</v>
      </c>
      <c r="M51" s="62">
        <v>23.036000000000001</v>
      </c>
      <c r="N51" s="62">
        <v>18.064</v>
      </c>
      <c r="O51" s="62">
        <v>15.58</v>
      </c>
      <c r="P51" s="62">
        <v>15.739000000000001</v>
      </c>
      <c r="Q51" s="62">
        <v>15.295999999999999</v>
      </c>
      <c r="R51" s="62">
        <v>11.7</v>
      </c>
      <c r="S51" s="62">
        <v>10.849</v>
      </c>
      <c r="T51" s="62">
        <v>11.967000000000001</v>
      </c>
      <c r="U51" s="62">
        <v>11.523</v>
      </c>
      <c r="V51" s="62">
        <v>12.112</v>
      </c>
      <c r="W51" s="62">
        <v>10.776</v>
      </c>
      <c r="X51" s="62">
        <v>9.9830000000000005</v>
      </c>
      <c r="Y51" s="62">
        <v>9.4489999999999998</v>
      </c>
      <c r="Z51" s="62">
        <v>9.3149999999999995</v>
      </c>
      <c r="AA51" s="62">
        <v>8.7119999999999997</v>
      </c>
      <c r="AB51" s="62">
        <v>9.609</v>
      </c>
      <c r="AC51" s="62">
        <v>8.0139999999999993</v>
      </c>
      <c r="AD51" s="62">
        <v>7.0609999999999999</v>
      </c>
    </row>
    <row r="52" spans="1:30" x14ac:dyDescent="0.2">
      <c r="A52" s="62">
        <v>51</v>
      </c>
      <c r="B52" s="62">
        <v>315</v>
      </c>
      <c r="C52" s="62">
        <v>9.34</v>
      </c>
      <c r="D52" s="62">
        <v>8.0730000000000004</v>
      </c>
      <c r="E52" s="62">
        <v>7.9379999999999997</v>
      </c>
      <c r="F52" s="62">
        <v>6.9020000000000001</v>
      </c>
      <c r="G52" s="62">
        <v>6.4960000000000004</v>
      </c>
      <c r="H52" s="62">
        <v>5.9820000000000002</v>
      </c>
      <c r="I52" s="62">
        <v>6.6319999999999997</v>
      </c>
      <c r="J52" s="62">
        <v>7.7370000000000001</v>
      </c>
      <c r="K52" s="62">
        <v>8.5389999999999997</v>
      </c>
      <c r="L52" s="62">
        <v>8.9429999999999996</v>
      </c>
      <c r="M52" s="62">
        <v>9.4030000000000005</v>
      </c>
      <c r="N52" s="62">
        <v>8.7080000000000002</v>
      </c>
      <c r="O52" s="62">
        <v>13.676</v>
      </c>
      <c r="P52" s="62">
        <v>8.9410000000000007</v>
      </c>
      <c r="Q52" s="62">
        <v>7.7060000000000004</v>
      </c>
      <c r="R52" s="62">
        <v>6.74</v>
      </c>
      <c r="S52" s="62">
        <v>4.8029999999999999</v>
      </c>
      <c r="T52" s="62">
        <v>5.2130000000000001</v>
      </c>
      <c r="U52" s="62">
        <v>4.9950000000000001</v>
      </c>
      <c r="V52" s="62">
        <v>4.8879999999999999</v>
      </c>
      <c r="W52" s="62">
        <v>5.2990000000000004</v>
      </c>
      <c r="X52" s="62">
        <v>5.1319999999999997</v>
      </c>
      <c r="Y52" s="62">
        <v>4.7089999999999996</v>
      </c>
      <c r="Z52" s="62">
        <v>3.4670000000000001</v>
      </c>
      <c r="AA52" s="62">
        <v>3.657</v>
      </c>
      <c r="AB52" s="62">
        <v>3.9790000000000001</v>
      </c>
      <c r="AC52" s="62">
        <v>3.3239999999999998</v>
      </c>
      <c r="AD52" s="62">
        <v>3.024</v>
      </c>
    </row>
    <row r="53" spans="1:30" x14ac:dyDescent="0.2">
      <c r="A53" s="62">
        <v>52</v>
      </c>
      <c r="B53" s="62">
        <v>327</v>
      </c>
      <c r="C53" s="62">
        <v>163.154</v>
      </c>
      <c r="D53" s="62">
        <v>182.51599999999999</v>
      </c>
      <c r="E53" s="62">
        <v>189.40799999999999</v>
      </c>
      <c r="F53" s="62">
        <v>182.92</v>
      </c>
      <c r="G53" s="62">
        <v>187.411</v>
      </c>
      <c r="H53" s="62">
        <v>192.232</v>
      </c>
      <c r="I53" s="62">
        <v>200.45</v>
      </c>
      <c r="J53" s="62">
        <v>206.721</v>
      </c>
      <c r="K53" s="62">
        <v>223.28299999999999</v>
      </c>
      <c r="L53" s="62">
        <v>220.143</v>
      </c>
      <c r="M53" s="62">
        <v>228.43600000000001</v>
      </c>
      <c r="N53" s="62">
        <v>239.23400000000001</v>
      </c>
      <c r="O53" s="62">
        <v>244.291</v>
      </c>
      <c r="P53" s="62">
        <v>257.51400000000001</v>
      </c>
      <c r="Q53" s="62">
        <v>267.10899999999998</v>
      </c>
      <c r="R53" s="62">
        <v>263.78699999999998</v>
      </c>
      <c r="S53" s="62">
        <v>254.506</v>
      </c>
      <c r="T53" s="62">
        <v>240.40700000000001</v>
      </c>
      <c r="U53" s="62">
        <v>253.23599999999999</v>
      </c>
      <c r="V53" s="62">
        <v>250.15899999999999</v>
      </c>
      <c r="W53" s="62">
        <v>255.23599999999999</v>
      </c>
      <c r="X53" s="62">
        <v>244.47499999999999</v>
      </c>
      <c r="Y53" s="62">
        <v>228.70699999999999</v>
      </c>
      <c r="Z53" s="62">
        <v>221.131</v>
      </c>
      <c r="AA53" s="62">
        <v>211.411</v>
      </c>
      <c r="AB53" s="62">
        <v>232.60499999999999</v>
      </c>
      <c r="AC53" s="62">
        <v>213.71700000000001</v>
      </c>
      <c r="AD53" s="62">
        <v>184.393</v>
      </c>
    </row>
    <row r="54" spans="1:30" x14ac:dyDescent="0.2">
      <c r="A54" s="62">
        <v>53</v>
      </c>
      <c r="B54" s="62">
        <v>327</v>
      </c>
      <c r="C54" s="62">
        <v>385.90899999999999</v>
      </c>
      <c r="D54" s="62">
        <v>409.90199999999999</v>
      </c>
      <c r="E54" s="62">
        <v>400.57499999999999</v>
      </c>
      <c r="F54" s="62">
        <v>381.67899999999997</v>
      </c>
      <c r="G54" s="62">
        <v>402.54199999999997</v>
      </c>
      <c r="H54" s="62">
        <v>426.93099999999998</v>
      </c>
      <c r="I54" s="62">
        <v>437.08499999999998</v>
      </c>
      <c r="J54" s="62">
        <v>454.411</v>
      </c>
      <c r="K54" s="62">
        <v>456.197</v>
      </c>
      <c r="L54" s="62">
        <v>447.20499999999998</v>
      </c>
      <c r="M54" s="62">
        <v>451.38200000000001</v>
      </c>
      <c r="N54" s="62">
        <v>448.666</v>
      </c>
      <c r="O54" s="62">
        <v>427.90499999999997</v>
      </c>
      <c r="P54" s="62">
        <v>442.34500000000003</v>
      </c>
      <c r="Q54" s="62">
        <v>467.25400000000002</v>
      </c>
      <c r="R54" s="62">
        <v>442.15300000000002</v>
      </c>
      <c r="S54" s="62">
        <v>476.39499999999998</v>
      </c>
      <c r="T54" s="62">
        <v>397.577</v>
      </c>
      <c r="U54" s="62">
        <v>404.22399999999999</v>
      </c>
      <c r="V54" s="62">
        <v>432.67599999999999</v>
      </c>
      <c r="W54" s="62">
        <v>418.94400000000002</v>
      </c>
      <c r="X54" s="62">
        <v>411.40600000000001</v>
      </c>
      <c r="Y54" s="62">
        <v>361.09500000000003</v>
      </c>
      <c r="Z54" s="62">
        <v>354.67899999999997</v>
      </c>
      <c r="AA54" s="62">
        <v>287.07499999999999</v>
      </c>
      <c r="AB54" s="62">
        <v>289.38499999999999</v>
      </c>
      <c r="AC54" s="62">
        <v>319.02999999999997</v>
      </c>
      <c r="AD54" s="62">
        <v>298.37099999999998</v>
      </c>
    </row>
    <row r="55" spans="1:30" x14ac:dyDescent="0.2">
      <c r="A55" s="62">
        <v>54</v>
      </c>
      <c r="B55" s="62">
        <v>327</v>
      </c>
      <c r="C55" s="62">
        <v>344.005</v>
      </c>
      <c r="D55" s="62">
        <v>412.96600000000001</v>
      </c>
      <c r="E55" s="62">
        <v>404.21699999999998</v>
      </c>
      <c r="F55" s="62">
        <v>381.21</v>
      </c>
      <c r="G55" s="62">
        <v>366.46</v>
      </c>
      <c r="H55" s="62">
        <v>389.779</v>
      </c>
      <c r="I55" s="62">
        <v>430.64600000000002</v>
      </c>
      <c r="J55" s="62">
        <v>465.66899999999998</v>
      </c>
      <c r="K55" s="62">
        <v>484.22699999999998</v>
      </c>
      <c r="L55" s="62">
        <v>463.971</v>
      </c>
      <c r="M55" s="62">
        <v>477.21899999999999</v>
      </c>
      <c r="N55" s="62">
        <v>492.67500000000001</v>
      </c>
      <c r="O55" s="62">
        <v>458.60399999999998</v>
      </c>
      <c r="P55" s="62">
        <v>483.55900000000003</v>
      </c>
      <c r="Q55" s="62">
        <v>489.25</v>
      </c>
      <c r="R55" s="62">
        <v>467.791</v>
      </c>
      <c r="S55" s="62">
        <v>449.12799999999999</v>
      </c>
      <c r="T55" s="62">
        <v>409.90199999999999</v>
      </c>
      <c r="U55" s="62">
        <v>437.471</v>
      </c>
      <c r="V55" s="62">
        <v>438.923</v>
      </c>
      <c r="W55" s="62">
        <v>460.952</v>
      </c>
      <c r="X55" s="62">
        <v>467.87299999999999</v>
      </c>
      <c r="Y55" s="62">
        <v>406.83100000000002</v>
      </c>
      <c r="Z55" s="62">
        <v>374.85399999999998</v>
      </c>
      <c r="AA55" s="62">
        <v>296.00900000000001</v>
      </c>
      <c r="AB55" s="62">
        <v>345.24099999999999</v>
      </c>
      <c r="AC55" s="62">
        <v>344.54599999999999</v>
      </c>
      <c r="AD55" s="62">
        <v>317.73</v>
      </c>
    </row>
    <row r="56" spans="1:30" x14ac:dyDescent="0.2">
      <c r="A56" s="62">
        <v>55</v>
      </c>
      <c r="B56" s="62">
        <v>500</v>
      </c>
      <c r="C56" s="62">
        <v>203.36600000000001</v>
      </c>
      <c r="D56" s="62">
        <v>211.34700000000001</v>
      </c>
      <c r="E56" s="62">
        <v>219.23599999999999</v>
      </c>
      <c r="F56" s="62">
        <v>193.321</v>
      </c>
      <c r="G56" s="62">
        <v>198.18299999999999</v>
      </c>
      <c r="H56" s="62">
        <v>211.82</v>
      </c>
      <c r="I56" s="62">
        <v>234.28</v>
      </c>
      <c r="J56" s="62">
        <v>262.40699999999998</v>
      </c>
      <c r="K56" s="62">
        <v>267.94600000000003</v>
      </c>
      <c r="L56" s="62">
        <v>263.69499999999999</v>
      </c>
      <c r="M56" s="62">
        <v>249.916</v>
      </c>
      <c r="N56" s="62">
        <v>264.95400000000001</v>
      </c>
      <c r="O56" s="62">
        <v>299.59399999999999</v>
      </c>
      <c r="P56" s="62">
        <v>258.76900000000001</v>
      </c>
      <c r="Q56" s="62">
        <v>274.87599999999998</v>
      </c>
      <c r="R56" s="62">
        <v>291.10300000000001</v>
      </c>
      <c r="S56" s="62">
        <v>301.637</v>
      </c>
      <c r="T56" s="62">
        <v>279.33999999999997</v>
      </c>
      <c r="U56" s="62">
        <v>319.88299999999998</v>
      </c>
      <c r="V56" s="62">
        <v>263.774</v>
      </c>
      <c r="W56" s="62">
        <v>304.69</v>
      </c>
      <c r="X56" s="62">
        <v>263.05700000000002</v>
      </c>
      <c r="Y56" s="62">
        <v>225.417</v>
      </c>
      <c r="Z56" s="62">
        <v>198.04599999999999</v>
      </c>
      <c r="AA56" s="62">
        <v>131.72900000000001</v>
      </c>
      <c r="AB56" s="62">
        <v>122.593</v>
      </c>
      <c r="AC56" s="62">
        <v>144.12200000000001</v>
      </c>
      <c r="AD56" s="62">
        <v>132.41499999999999</v>
      </c>
    </row>
    <row r="57" spans="1:30" x14ac:dyDescent="0.2">
      <c r="A57" s="62">
        <v>56</v>
      </c>
      <c r="B57" s="62">
        <v>331</v>
      </c>
      <c r="C57" s="62">
        <v>2053.0720000000001</v>
      </c>
      <c r="D57" s="62">
        <v>2204.3649999999998</v>
      </c>
      <c r="E57" s="62">
        <v>2398.4589999999998</v>
      </c>
      <c r="F57" s="62">
        <v>2276.2979999999998</v>
      </c>
      <c r="G57" s="62">
        <v>2321.2060000000001</v>
      </c>
      <c r="H57" s="62">
        <v>2402.1039999999998</v>
      </c>
      <c r="I57" s="62">
        <v>2720.0929999999998</v>
      </c>
      <c r="J57" s="62">
        <v>2850.1390000000001</v>
      </c>
      <c r="K57" s="62">
        <v>2881.8229999999999</v>
      </c>
      <c r="L57" s="62">
        <v>2694.2649999999999</v>
      </c>
      <c r="M57" s="62">
        <v>2773.3220000000001</v>
      </c>
      <c r="N57" s="62">
        <v>2995.93</v>
      </c>
      <c r="O57" s="62">
        <v>2842.6460000000002</v>
      </c>
      <c r="P57" s="62">
        <v>2612.7249999999999</v>
      </c>
      <c r="Q57" s="62">
        <v>2741.4870000000001</v>
      </c>
      <c r="R57" s="62">
        <v>3035.0639999999999</v>
      </c>
      <c r="S57" s="62">
        <v>2904.6819999999998</v>
      </c>
      <c r="T57" s="62">
        <v>2453.1010000000001</v>
      </c>
      <c r="U57" s="62">
        <v>2530.402</v>
      </c>
      <c r="V57" s="62">
        <v>2448.7829999999999</v>
      </c>
      <c r="W57" s="62">
        <v>2602.59</v>
      </c>
      <c r="X57" s="62">
        <v>2620.12</v>
      </c>
      <c r="Y57" s="62">
        <v>2069.569</v>
      </c>
      <c r="Z57" s="62">
        <v>2113.77</v>
      </c>
      <c r="AA57" s="62">
        <v>1360.1559999999999</v>
      </c>
      <c r="AB57" s="62">
        <v>1505.925</v>
      </c>
      <c r="AC57" s="62">
        <v>1516.873</v>
      </c>
      <c r="AD57" s="62">
        <v>1406.895</v>
      </c>
    </row>
    <row r="58" spans="1:30" x14ac:dyDescent="0.2">
      <c r="A58" s="62">
        <v>57</v>
      </c>
      <c r="B58" s="62">
        <v>331</v>
      </c>
      <c r="C58" s="62">
        <v>90.826999999999998</v>
      </c>
      <c r="D58" s="62">
        <v>98.769000000000005</v>
      </c>
      <c r="E58" s="62">
        <v>93.162000000000006</v>
      </c>
      <c r="F58" s="62">
        <v>93.262</v>
      </c>
      <c r="G58" s="62">
        <v>116.492</v>
      </c>
      <c r="H58" s="62">
        <v>118.298</v>
      </c>
      <c r="I58" s="62">
        <v>131.07400000000001</v>
      </c>
      <c r="J58" s="62">
        <v>130.66</v>
      </c>
      <c r="K58" s="62">
        <v>132.221</v>
      </c>
      <c r="L58" s="62">
        <v>136.827</v>
      </c>
      <c r="M58" s="62">
        <v>143.715</v>
      </c>
      <c r="N58" s="62">
        <v>152.95099999999999</v>
      </c>
      <c r="O58" s="62">
        <v>138.96600000000001</v>
      </c>
      <c r="P58" s="62">
        <v>146.815</v>
      </c>
      <c r="Q58" s="62">
        <v>159.25899999999999</v>
      </c>
      <c r="R58" s="62">
        <v>142.47399999999999</v>
      </c>
      <c r="S58" s="62">
        <v>149.42500000000001</v>
      </c>
      <c r="T58" s="62">
        <v>137.291</v>
      </c>
      <c r="U58" s="62">
        <v>133.43899999999999</v>
      </c>
      <c r="V58" s="62">
        <v>151</v>
      </c>
      <c r="W58" s="62">
        <v>162.36199999999999</v>
      </c>
      <c r="X58" s="62">
        <v>156.87</v>
      </c>
      <c r="Y58" s="62">
        <v>135.63499999999999</v>
      </c>
      <c r="Z58" s="62">
        <v>134.26499999999999</v>
      </c>
      <c r="AA58" s="62">
        <v>99.028000000000006</v>
      </c>
      <c r="AB58" s="62">
        <v>120.062</v>
      </c>
      <c r="AC58" s="62">
        <v>120.316</v>
      </c>
      <c r="AD58" s="62">
        <v>105.85599999999999</v>
      </c>
    </row>
    <row r="59" spans="1:30" x14ac:dyDescent="0.2">
      <c r="A59" s="62">
        <v>58</v>
      </c>
      <c r="B59" s="62">
        <v>332</v>
      </c>
      <c r="C59" s="62">
        <v>40.130000000000003</v>
      </c>
      <c r="D59" s="62">
        <v>44.459000000000003</v>
      </c>
      <c r="E59" s="62">
        <v>43.402999999999999</v>
      </c>
      <c r="F59" s="62">
        <v>40.729999999999997</v>
      </c>
      <c r="G59" s="62">
        <v>52.255000000000003</v>
      </c>
      <c r="H59" s="62">
        <v>47.17</v>
      </c>
      <c r="I59" s="62">
        <v>52.822000000000003</v>
      </c>
      <c r="J59" s="62">
        <v>54.292000000000002</v>
      </c>
      <c r="K59" s="62">
        <v>59.722999999999999</v>
      </c>
      <c r="L59" s="62">
        <v>63.973999999999997</v>
      </c>
      <c r="M59" s="62">
        <v>62.326000000000001</v>
      </c>
      <c r="N59" s="62">
        <v>64.659000000000006</v>
      </c>
      <c r="O59" s="62">
        <v>55.521000000000001</v>
      </c>
      <c r="P59" s="62">
        <v>53.863</v>
      </c>
      <c r="Q59" s="62">
        <v>54.531999999999996</v>
      </c>
      <c r="R59" s="62">
        <v>51.860999999999997</v>
      </c>
      <c r="S59" s="62">
        <v>52.761000000000003</v>
      </c>
      <c r="T59" s="62">
        <v>50.454000000000001</v>
      </c>
      <c r="U59" s="62">
        <v>47.616</v>
      </c>
      <c r="V59" s="62">
        <v>46.887999999999998</v>
      </c>
      <c r="W59" s="62">
        <v>48.517000000000003</v>
      </c>
      <c r="X59" s="62">
        <v>47.496000000000002</v>
      </c>
      <c r="Y59" s="62">
        <v>42.99</v>
      </c>
      <c r="Z59" s="62">
        <v>41.828000000000003</v>
      </c>
      <c r="AA59" s="62">
        <v>31.593</v>
      </c>
      <c r="AB59" s="62">
        <v>28.382000000000001</v>
      </c>
      <c r="AC59" s="62">
        <v>31.311</v>
      </c>
      <c r="AD59" s="62">
        <v>26.013000000000002</v>
      </c>
    </row>
    <row r="60" spans="1:30" x14ac:dyDescent="0.2">
      <c r="A60" s="62">
        <v>59</v>
      </c>
      <c r="B60" s="62">
        <v>331</v>
      </c>
      <c r="C60" s="62">
        <v>141.71299999999999</v>
      </c>
      <c r="D60" s="62">
        <v>143.51400000000001</v>
      </c>
      <c r="E60" s="62">
        <v>149.14500000000001</v>
      </c>
      <c r="F60" s="62">
        <v>144.15299999999999</v>
      </c>
      <c r="G60" s="62">
        <v>169.91800000000001</v>
      </c>
      <c r="H60" s="62">
        <v>171.49700000000001</v>
      </c>
      <c r="I60" s="62">
        <v>181.47399999999999</v>
      </c>
      <c r="J60" s="62">
        <v>191.91800000000001</v>
      </c>
      <c r="K60" s="62">
        <v>204.387</v>
      </c>
      <c r="L60" s="62">
        <v>197.56200000000001</v>
      </c>
      <c r="M60" s="62">
        <v>208.251</v>
      </c>
      <c r="N60" s="62">
        <v>215.155</v>
      </c>
      <c r="O60" s="62">
        <v>205.97399999999999</v>
      </c>
      <c r="P60" s="62">
        <v>192.215</v>
      </c>
      <c r="Q60" s="62">
        <v>175.93</v>
      </c>
      <c r="R60" s="62">
        <v>198.23500000000001</v>
      </c>
      <c r="S60" s="62">
        <v>201.88300000000001</v>
      </c>
      <c r="T60" s="62">
        <v>119.46</v>
      </c>
      <c r="U60" s="62">
        <v>105.571</v>
      </c>
      <c r="V60" s="62">
        <v>112.136</v>
      </c>
      <c r="W60" s="62">
        <v>100.04900000000001</v>
      </c>
      <c r="X60" s="62">
        <v>144.45599999999999</v>
      </c>
      <c r="Y60" s="62">
        <v>143.523</v>
      </c>
      <c r="Z60" s="62">
        <v>78.088999999999999</v>
      </c>
      <c r="AA60" s="62">
        <v>56.334000000000003</v>
      </c>
      <c r="AB60" s="62">
        <v>42.076999999999998</v>
      </c>
      <c r="AC60" s="62">
        <v>48.39</v>
      </c>
      <c r="AD60" s="62">
        <v>29.114000000000001</v>
      </c>
    </row>
    <row r="61" spans="1:30" x14ac:dyDescent="0.2">
      <c r="A61" s="62">
        <v>60</v>
      </c>
      <c r="B61" s="62">
        <v>331</v>
      </c>
      <c r="C61" s="62">
        <v>211.17</v>
      </c>
      <c r="D61" s="62">
        <v>221.059</v>
      </c>
      <c r="E61" s="62">
        <v>226.20400000000001</v>
      </c>
      <c r="F61" s="62">
        <v>220.29300000000001</v>
      </c>
      <c r="G61" s="62">
        <v>237.226</v>
      </c>
      <c r="H61" s="62">
        <v>246.44399999999999</v>
      </c>
      <c r="I61" s="62">
        <v>260.81700000000001</v>
      </c>
      <c r="J61" s="62">
        <v>270.49599999999998</v>
      </c>
      <c r="K61" s="62">
        <v>290.95600000000002</v>
      </c>
      <c r="L61" s="62">
        <v>286.15899999999999</v>
      </c>
      <c r="M61" s="62">
        <v>302.85599999999999</v>
      </c>
      <c r="N61" s="62">
        <v>319.77600000000001</v>
      </c>
      <c r="O61" s="62">
        <v>312.61700000000002</v>
      </c>
      <c r="P61" s="62">
        <v>316.303</v>
      </c>
      <c r="Q61" s="62">
        <v>351.62099999999998</v>
      </c>
      <c r="R61" s="62">
        <v>347.45400000000001</v>
      </c>
      <c r="S61" s="62">
        <v>329.69400000000002</v>
      </c>
      <c r="T61" s="62">
        <v>294.404</v>
      </c>
      <c r="U61" s="62">
        <v>311.47699999999998</v>
      </c>
      <c r="V61" s="62">
        <v>317.62700000000001</v>
      </c>
      <c r="W61" s="62">
        <v>321.488</v>
      </c>
      <c r="X61" s="62">
        <v>296.577</v>
      </c>
      <c r="Y61" s="62">
        <v>264.67700000000002</v>
      </c>
      <c r="Z61" s="62">
        <v>267.08</v>
      </c>
      <c r="AA61" s="62">
        <v>240.66800000000001</v>
      </c>
      <c r="AB61" s="62">
        <v>262.17899999999997</v>
      </c>
      <c r="AC61" s="62">
        <v>245.166</v>
      </c>
      <c r="AD61" s="62">
        <v>207.42500000000001</v>
      </c>
    </row>
    <row r="62" spans="1:30" x14ac:dyDescent="0.2">
      <c r="A62" s="62">
        <v>61</v>
      </c>
      <c r="B62" s="62">
        <v>332</v>
      </c>
      <c r="C62" s="62">
        <v>16.189</v>
      </c>
      <c r="D62" s="62">
        <v>16.190000000000001</v>
      </c>
      <c r="E62" s="62">
        <v>15.404</v>
      </c>
      <c r="F62" s="62">
        <v>14.615</v>
      </c>
      <c r="G62" s="62">
        <v>15.965</v>
      </c>
      <c r="H62" s="62">
        <v>15.178000000000001</v>
      </c>
      <c r="I62" s="62">
        <v>17.300999999999998</v>
      </c>
      <c r="J62" s="62">
        <v>17.53</v>
      </c>
      <c r="K62" s="62">
        <v>19.05</v>
      </c>
      <c r="L62" s="62">
        <v>20.986999999999998</v>
      </c>
      <c r="M62" s="62">
        <v>22.533000000000001</v>
      </c>
      <c r="N62" s="62">
        <v>24.289000000000001</v>
      </c>
      <c r="O62" s="62">
        <v>27.545999999999999</v>
      </c>
      <c r="P62" s="62">
        <v>29.516999999999999</v>
      </c>
      <c r="Q62" s="62">
        <v>30.5</v>
      </c>
      <c r="R62" s="62">
        <v>29.449000000000002</v>
      </c>
      <c r="S62" s="62">
        <v>30.501999999999999</v>
      </c>
      <c r="T62" s="62">
        <v>26.763999999999999</v>
      </c>
      <c r="U62" s="62">
        <v>27.905999999999999</v>
      </c>
      <c r="V62" s="62">
        <v>27.625</v>
      </c>
      <c r="W62" s="62">
        <v>27.472000000000001</v>
      </c>
      <c r="X62" s="62">
        <v>25.718</v>
      </c>
      <c r="Y62" s="62">
        <v>24.550999999999998</v>
      </c>
      <c r="Z62" s="62">
        <v>22.76</v>
      </c>
      <c r="AA62" s="62">
        <v>21.923999999999999</v>
      </c>
      <c r="AB62" s="62">
        <v>22.137</v>
      </c>
      <c r="AC62" s="62">
        <v>20.655000000000001</v>
      </c>
      <c r="AD62" s="62">
        <v>17.884</v>
      </c>
    </row>
    <row r="63" spans="1:30" x14ac:dyDescent="0.2">
      <c r="A63" s="62">
        <v>62</v>
      </c>
      <c r="B63" s="62">
        <v>332</v>
      </c>
      <c r="C63" s="62">
        <v>50.875</v>
      </c>
      <c r="D63" s="62">
        <v>46.29</v>
      </c>
      <c r="E63" s="62">
        <v>46.814</v>
      </c>
      <c r="F63" s="62">
        <v>45.427999999999997</v>
      </c>
      <c r="G63" s="62">
        <v>50.838999999999999</v>
      </c>
      <c r="H63" s="62">
        <v>46.826000000000001</v>
      </c>
      <c r="I63" s="62">
        <v>49.673999999999999</v>
      </c>
      <c r="J63" s="62">
        <v>55.895000000000003</v>
      </c>
      <c r="K63" s="62">
        <v>70.992999999999995</v>
      </c>
      <c r="L63" s="62">
        <v>75.158000000000001</v>
      </c>
      <c r="M63" s="62">
        <v>83.094999999999999</v>
      </c>
      <c r="N63" s="62">
        <v>73.712999999999994</v>
      </c>
      <c r="O63" s="62">
        <v>77.680999999999997</v>
      </c>
      <c r="P63" s="62">
        <v>73.531999999999996</v>
      </c>
      <c r="Q63" s="62">
        <v>84.385000000000005</v>
      </c>
      <c r="R63" s="62">
        <v>81.516999999999996</v>
      </c>
      <c r="S63" s="62">
        <v>70.051000000000002</v>
      </c>
      <c r="T63" s="62">
        <v>60.677999999999997</v>
      </c>
      <c r="U63" s="62">
        <v>57.887999999999998</v>
      </c>
      <c r="V63" s="62">
        <v>55.889000000000003</v>
      </c>
      <c r="W63" s="62">
        <v>58.905999999999999</v>
      </c>
      <c r="X63" s="62">
        <v>60.067999999999998</v>
      </c>
      <c r="Y63" s="62">
        <v>56.99</v>
      </c>
      <c r="Z63" s="62">
        <v>52.274000000000001</v>
      </c>
      <c r="AA63" s="62">
        <v>53.805999999999997</v>
      </c>
      <c r="AB63" s="62">
        <v>52.606999999999999</v>
      </c>
      <c r="AC63" s="62">
        <v>49.225000000000001</v>
      </c>
      <c r="AD63" s="62">
        <v>43.808</v>
      </c>
    </row>
    <row r="64" spans="1:30" x14ac:dyDescent="0.2">
      <c r="A64" s="62">
        <v>63</v>
      </c>
      <c r="B64" s="62">
        <v>332</v>
      </c>
      <c r="C64" s="62">
        <v>13.938000000000001</v>
      </c>
      <c r="D64" s="62">
        <v>14.226000000000001</v>
      </c>
      <c r="E64" s="62">
        <v>13.105</v>
      </c>
      <c r="F64" s="62">
        <v>11.371</v>
      </c>
      <c r="G64" s="62">
        <v>11.776</v>
      </c>
      <c r="H64" s="62">
        <v>10.96</v>
      </c>
      <c r="I64" s="62">
        <v>12.141</v>
      </c>
      <c r="J64" s="62">
        <v>12.02</v>
      </c>
      <c r="K64" s="62">
        <v>12.659000000000001</v>
      </c>
      <c r="L64" s="62">
        <v>16.187999999999999</v>
      </c>
      <c r="M64" s="62">
        <v>16.355</v>
      </c>
      <c r="N64" s="62">
        <v>17.678000000000001</v>
      </c>
      <c r="O64" s="62">
        <v>17.411999999999999</v>
      </c>
      <c r="P64" s="62">
        <v>16.125</v>
      </c>
      <c r="Q64" s="62">
        <v>16.922000000000001</v>
      </c>
      <c r="R64" s="62">
        <v>17.277000000000001</v>
      </c>
      <c r="S64" s="62">
        <v>15.545</v>
      </c>
      <c r="T64" s="62">
        <v>12.617000000000001</v>
      </c>
      <c r="U64" s="62">
        <v>14.329000000000001</v>
      </c>
      <c r="V64" s="62">
        <v>15.044</v>
      </c>
      <c r="W64" s="62">
        <v>15.814</v>
      </c>
      <c r="X64" s="62">
        <v>15.468</v>
      </c>
      <c r="Y64" s="62">
        <v>13.954000000000001</v>
      </c>
      <c r="Z64" s="62">
        <v>12.887</v>
      </c>
      <c r="AA64" s="62">
        <v>11.271000000000001</v>
      </c>
      <c r="AB64" s="62">
        <v>11.638999999999999</v>
      </c>
      <c r="AC64" s="62">
        <v>11.41</v>
      </c>
      <c r="AD64" s="62">
        <v>9.3309999999999995</v>
      </c>
    </row>
    <row r="65" spans="1:30" x14ac:dyDescent="0.2">
      <c r="A65" s="62">
        <v>64</v>
      </c>
      <c r="B65" s="62">
        <v>332</v>
      </c>
      <c r="C65" s="62">
        <v>22.824999999999999</v>
      </c>
      <c r="D65" s="62">
        <v>22.277999999999999</v>
      </c>
      <c r="E65" s="62">
        <v>21.643000000000001</v>
      </c>
      <c r="F65" s="62">
        <v>19.286000000000001</v>
      </c>
      <c r="G65" s="62">
        <v>21.251000000000001</v>
      </c>
      <c r="H65" s="62">
        <v>20.297999999999998</v>
      </c>
      <c r="I65" s="62">
        <v>22.370999999999999</v>
      </c>
      <c r="J65" s="62">
        <v>24.536999999999999</v>
      </c>
      <c r="K65" s="62">
        <v>26.507000000000001</v>
      </c>
      <c r="L65" s="62">
        <v>36.351999999999997</v>
      </c>
      <c r="M65" s="62">
        <v>38.570999999999998</v>
      </c>
      <c r="N65" s="62">
        <v>41.292999999999999</v>
      </c>
      <c r="O65" s="62">
        <v>39.725999999999999</v>
      </c>
      <c r="P65" s="62">
        <v>40.277999999999999</v>
      </c>
      <c r="Q65" s="62">
        <v>40.127000000000002</v>
      </c>
      <c r="R65" s="62">
        <v>36.5</v>
      </c>
      <c r="S65" s="62">
        <v>29.582000000000001</v>
      </c>
      <c r="T65" s="62">
        <v>27.164000000000001</v>
      </c>
      <c r="U65" s="62">
        <v>31.513000000000002</v>
      </c>
      <c r="V65" s="62">
        <v>33.860999999999997</v>
      </c>
      <c r="W65" s="62">
        <v>33.802</v>
      </c>
      <c r="X65" s="62">
        <v>31.85</v>
      </c>
      <c r="Y65" s="62">
        <v>29.658000000000001</v>
      </c>
      <c r="Z65" s="62">
        <v>27.591999999999999</v>
      </c>
      <c r="AA65" s="62">
        <v>30.213000000000001</v>
      </c>
      <c r="AB65" s="62">
        <v>32.956000000000003</v>
      </c>
      <c r="AC65" s="62">
        <v>30.263999999999999</v>
      </c>
      <c r="AD65" s="62">
        <v>27.661999999999999</v>
      </c>
    </row>
    <row r="66" spans="1:30" x14ac:dyDescent="0.2">
      <c r="A66" s="62">
        <v>65</v>
      </c>
      <c r="B66" s="62">
        <v>332</v>
      </c>
      <c r="C66" s="62">
        <v>61.091999999999999</v>
      </c>
      <c r="D66" s="62">
        <v>63.850999999999999</v>
      </c>
      <c r="E66" s="62">
        <v>63.231999999999999</v>
      </c>
      <c r="F66" s="62">
        <v>61.557000000000002</v>
      </c>
      <c r="G66" s="62">
        <v>69.042000000000002</v>
      </c>
      <c r="H66" s="62">
        <v>65.590999999999994</v>
      </c>
      <c r="I66" s="62">
        <v>75.948999999999998</v>
      </c>
      <c r="J66" s="62">
        <v>79.120999999999995</v>
      </c>
      <c r="K66" s="62">
        <v>86.691999999999993</v>
      </c>
      <c r="L66" s="62">
        <v>95.742999999999995</v>
      </c>
      <c r="M66" s="62">
        <v>95.741</v>
      </c>
      <c r="N66" s="62">
        <v>98.319000000000003</v>
      </c>
      <c r="O66" s="62">
        <v>102.404</v>
      </c>
      <c r="P66" s="62">
        <v>99.481999999999999</v>
      </c>
      <c r="Q66" s="62">
        <v>99.643000000000001</v>
      </c>
      <c r="R66" s="62">
        <v>92.664000000000001</v>
      </c>
      <c r="S66" s="62">
        <v>82.247</v>
      </c>
      <c r="T66" s="62">
        <v>86.233000000000004</v>
      </c>
      <c r="U66" s="62">
        <v>89.533000000000001</v>
      </c>
      <c r="V66" s="62">
        <v>90.484999999999999</v>
      </c>
      <c r="W66" s="62">
        <v>94.638000000000005</v>
      </c>
      <c r="X66" s="62">
        <v>88.576999999999998</v>
      </c>
      <c r="Y66" s="62">
        <v>81.965000000000003</v>
      </c>
      <c r="Z66" s="62">
        <v>84.7</v>
      </c>
      <c r="AA66" s="62">
        <v>85.400999999999996</v>
      </c>
      <c r="AB66" s="62">
        <v>87.063999999999993</v>
      </c>
      <c r="AC66" s="62">
        <v>90.54</v>
      </c>
      <c r="AD66" s="62">
        <v>81.629000000000005</v>
      </c>
    </row>
    <row r="67" spans="1:30" x14ac:dyDescent="0.2">
      <c r="A67" s="62">
        <v>66</v>
      </c>
      <c r="B67" s="62">
        <v>333</v>
      </c>
      <c r="C67" s="62">
        <v>20.655000000000001</v>
      </c>
      <c r="D67" s="62">
        <v>19.954000000000001</v>
      </c>
      <c r="E67" s="62">
        <v>20.3</v>
      </c>
      <c r="F67" s="62">
        <v>20.23</v>
      </c>
      <c r="G67" s="62">
        <v>22.196000000000002</v>
      </c>
      <c r="H67" s="62">
        <v>22.228999999999999</v>
      </c>
      <c r="I67" s="62">
        <v>25.451000000000001</v>
      </c>
      <c r="J67" s="62">
        <v>24.187999999999999</v>
      </c>
      <c r="K67" s="62">
        <v>24.895</v>
      </c>
      <c r="L67" s="62">
        <v>24.937000000000001</v>
      </c>
      <c r="M67" s="62">
        <v>20.78</v>
      </c>
      <c r="N67" s="62">
        <v>18.786000000000001</v>
      </c>
      <c r="O67" s="62">
        <v>17.574999999999999</v>
      </c>
      <c r="P67" s="62">
        <v>17.599</v>
      </c>
      <c r="Q67" s="62">
        <v>19.853999999999999</v>
      </c>
      <c r="R67" s="62">
        <v>19.369</v>
      </c>
      <c r="S67" s="62">
        <v>19.254000000000001</v>
      </c>
      <c r="T67" s="62">
        <v>22.64</v>
      </c>
      <c r="U67" s="62">
        <v>21.454000000000001</v>
      </c>
      <c r="V67" s="62">
        <v>21.213999999999999</v>
      </c>
      <c r="W67" s="62">
        <v>23.14</v>
      </c>
      <c r="X67" s="62">
        <v>22.591999999999999</v>
      </c>
      <c r="Y67" s="62">
        <v>21.463000000000001</v>
      </c>
      <c r="Z67" s="62">
        <v>19.638999999999999</v>
      </c>
      <c r="AA67" s="62">
        <v>18.178000000000001</v>
      </c>
      <c r="AB67" s="62">
        <v>17.981000000000002</v>
      </c>
      <c r="AC67" s="62">
        <v>15.576000000000001</v>
      </c>
      <c r="AD67" s="62">
        <v>13.21</v>
      </c>
    </row>
    <row r="68" spans="1:30" x14ac:dyDescent="0.2">
      <c r="A68" s="62">
        <v>67</v>
      </c>
      <c r="B68" s="62">
        <v>333</v>
      </c>
      <c r="C68" s="62">
        <v>27.093</v>
      </c>
      <c r="D68" s="62">
        <v>26.375</v>
      </c>
      <c r="E68" s="62">
        <v>25.58</v>
      </c>
      <c r="F68" s="62">
        <v>25.28</v>
      </c>
      <c r="G68" s="62">
        <v>27.044</v>
      </c>
      <c r="H68" s="62">
        <v>28.068999999999999</v>
      </c>
      <c r="I68" s="62">
        <v>32.298000000000002</v>
      </c>
      <c r="J68" s="62">
        <v>31.428000000000001</v>
      </c>
      <c r="K68" s="62">
        <v>33.494</v>
      </c>
      <c r="L68" s="62">
        <v>35.073999999999998</v>
      </c>
      <c r="M68" s="62">
        <v>31.981999999999999</v>
      </c>
      <c r="N68" s="62">
        <v>30.571000000000002</v>
      </c>
      <c r="O68" s="62">
        <v>31.968</v>
      </c>
      <c r="P68" s="62">
        <v>31.1</v>
      </c>
      <c r="Q68" s="62">
        <v>36.082999999999998</v>
      </c>
      <c r="R68" s="62">
        <v>37.539000000000001</v>
      </c>
      <c r="S68" s="62">
        <v>34.585000000000001</v>
      </c>
      <c r="T68" s="62">
        <v>31.841000000000001</v>
      </c>
      <c r="U68" s="62">
        <v>28.533999999999999</v>
      </c>
      <c r="V68" s="62">
        <v>29.623999999999999</v>
      </c>
      <c r="W68" s="62">
        <v>27.401</v>
      </c>
      <c r="X68" s="62">
        <v>29.024000000000001</v>
      </c>
      <c r="Y68" s="62">
        <v>25.158999999999999</v>
      </c>
      <c r="Z68" s="62">
        <v>23.207999999999998</v>
      </c>
      <c r="AA68" s="62">
        <v>22.806000000000001</v>
      </c>
      <c r="AB68" s="62">
        <v>20.183</v>
      </c>
      <c r="AC68" s="62">
        <v>19.148</v>
      </c>
      <c r="AD68" s="62">
        <v>15.592000000000001</v>
      </c>
    </row>
    <row r="69" spans="1:30" x14ac:dyDescent="0.2">
      <c r="A69" s="62">
        <v>68</v>
      </c>
      <c r="B69" s="62">
        <v>333</v>
      </c>
      <c r="C69" s="62">
        <v>26.117000000000001</v>
      </c>
      <c r="D69" s="62">
        <v>28.962</v>
      </c>
      <c r="E69" s="62">
        <v>29.675999999999998</v>
      </c>
      <c r="F69" s="62">
        <v>26.821999999999999</v>
      </c>
      <c r="G69" s="62">
        <v>28.869</v>
      </c>
      <c r="H69" s="62">
        <v>26.797000000000001</v>
      </c>
      <c r="I69" s="62">
        <v>29.963999999999999</v>
      </c>
      <c r="J69" s="62">
        <v>30.959</v>
      </c>
      <c r="K69" s="62">
        <v>32.970999999999997</v>
      </c>
      <c r="L69" s="62">
        <v>43.295000000000002</v>
      </c>
      <c r="M69" s="62">
        <v>45.847000000000001</v>
      </c>
      <c r="N69" s="62">
        <v>44.368000000000002</v>
      </c>
      <c r="O69" s="62">
        <v>42.335000000000001</v>
      </c>
      <c r="P69" s="62">
        <v>40.055</v>
      </c>
      <c r="Q69" s="62">
        <v>45.015999999999998</v>
      </c>
      <c r="R69" s="62">
        <v>45.162999999999997</v>
      </c>
      <c r="S69" s="62">
        <v>44.673000000000002</v>
      </c>
      <c r="T69" s="62">
        <v>41.725000000000001</v>
      </c>
      <c r="U69" s="62">
        <v>40.207000000000001</v>
      </c>
      <c r="V69" s="62">
        <v>39.832000000000001</v>
      </c>
      <c r="W69" s="62">
        <v>43.97</v>
      </c>
      <c r="X69" s="62">
        <v>44.603999999999999</v>
      </c>
      <c r="Y69" s="62">
        <v>39.628999999999998</v>
      </c>
      <c r="Z69" s="62">
        <v>40.631</v>
      </c>
      <c r="AA69" s="62">
        <v>39.000999999999998</v>
      </c>
      <c r="AB69" s="62">
        <v>30.436</v>
      </c>
      <c r="AC69" s="62">
        <v>29.222000000000001</v>
      </c>
      <c r="AD69" s="62">
        <v>24.687999999999999</v>
      </c>
    </row>
    <row r="70" spans="1:30" x14ac:dyDescent="0.2">
      <c r="A70" s="62">
        <v>69</v>
      </c>
      <c r="B70" s="62">
        <v>333</v>
      </c>
      <c r="C70" s="62">
        <v>5.2089999999999996</v>
      </c>
      <c r="D70" s="62">
        <v>5.5780000000000003</v>
      </c>
      <c r="E70" s="62">
        <v>5.6440000000000001</v>
      </c>
      <c r="F70" s="62">
        <v>4.9669999999999996</v>
      </c>
      <c r="G70" s="62">
        <v>5.2590000000000003</v>
      </c>
      <c r="H70" s="62">
        <v>5.0220000000000002</v>
      </c>
      <c r="I70" s="62">
        <v>5.8120000000000003</v>
      </c>
      <c r="J70" s="62">
        <v>6.1280000000000001</v>
      </c>
      <c r="K70" s="62">
        <v>6.7489999999999997</v>
      </c>
      <c r="L70" s="62">
        <v>9.0990000000000002</v>
      </c>
      <c r="M70" s="62">
        <v>9.968</v>
      </c>
      <c r="N70" s="62">
        <v>10.422000000000001</v>
      </c>
      <c r="O70" s="62">
        <v>10.875999999999999</v>
      </c>
      <c r="P70" s="62">
        <v>11.117000000000001</v>
      </c>
      <c r="Q70" s="62">
        <v>11.462</v>
      </c>
      <c r="R70" s="62">
        <v>10.348000000000001</v>
      </c>
      <c r="S70" s="62">
        <v>8.8320000000000007</v>
      </c>
      <c r="T70" s="62">
        <v>7.8289999999999997</v>
      </c>
      <c r="U70" s="62">
        <v>7.6319999999999997</v>
      </c>
      <c r="V70" s="62">
        <v>8.0679999999999996</v>
      </c>
      <c r="W70" s="62">
        <v>8.66</v>
      </c>
      <c r="X70" s="62">
        <v>9.2059999999999995</v>
      </c>
      <c r="Y70" s="62">
        <v>8.1560000000000006</v>
      </c>
      <c r="Z70" s="62">
        <v>6.9580000000000002</v>
      </c>
      <c r="AA70" s="62">
        <v>6.6769999999999996</v>
      </c>
      <c r="AB70" s="62">
        <v>6.5049999999999999</v>
      </c>
      <c r="AC70" s="62">
        <v>6.0919999999999996</v>
      </c>
      <c r="AD70" s="62">
        <v>5.7990000000000004</v>
      </c>
    </row>
    <row r="71" spans="1:30" x14ac:dyDescent="0.2">
      <c r="A71" s="62">
        <v>70</v>
      </c>
      <c r="B71" s="62">
        <v>333</v>
      </c>
      <c r="C71" s="62">
        <v>17.437000000000001</v>
      </c>
      <c r="D71" s="62">
        <v>18.074999999999999</v>
      </c>
      <c r="E71" s="62">
        <v>20.577000000000002</v>
      </c>
      <c r="F71" s="62">
        <v>21.914000000000001</v>
      </c>
      <c r="G71" s="62">
        <v>27.167000000000002</v>
      </c>
      <c r="H71" s="62">
        <v>25.327999999999999</v>
      </c>
      <c r="I71" s="62">
        <v>25.114999999999998</v>
      </c>
      <c r="J71" s="62">
        <v>27.742999999999999</v>
      </c>
      <c r="K71" s="62">
        <v>28.834</v>
      </c>
      <c r="L71" s="62">
        <v>31.61</v>
      </c>
      <c r="M71" s="62">
        <v>33.698</v>
      </c>
      <c r="N71" s="62">
        <v>35.009</v>
      </c>
      <c r="O71" s="62">
        <v>37.865000000000002</v>
      </c>
      <c r="P71" s="62">
        <v>35.987000000000002</v>
      </c>
      <c r="Q71" s="62">
        <v>32.514000000000003</v>
      </c>
      <c r="R71" s="62">
        <v>32.659999999999997</v>
      </c>
      <c r="S71" s="62">
        <v>28.614999999999998</v>
      </c>
      <c r="T71" s="62">
        <v>23.992999999999999</v>
      </c>
      <c r="U71" s="62">
        <v>24.292999999999999</v>
      </c>
      <c r="V71" s="62">
        <v>23.547000000000001</v>
      </c>
      <c r="W71" s="62">
        <v>24.346</v>
      </c>
      <c r="X71" s="62">
        <v>22.483000000000001</v>
      </c>
      <c r="Y71" s="62">
        <v>23.713000000000001</v>
      </c>
      <c r="Z71" s="62">
        <v>19.690999999999999</v>
      </c>
      <c r="AA71" s="62">
        <v>18.657</v>
      </c>
      <c r="AB71" s="62">
        <v>18.068000000000001</v>
      </c>
      <c r="AC71" s="62">
        <v>17.276</v>
      </c>
      <c r="AD71" s="62">
        <v>15.111000000000001</v>
      </c>
    </row>
    <row r="72" spans="1:30" x14ac:dyDescent="0.2">
      <c r="A72" s="62">
        <v>71</v>
      </c>
      <c r="B72" s="62">
        <v>333</v>
      </c>
      <c r="C72" s="62">
        <v>12.352</v>
      </c>
      <c r="D72" s="62">
        <v>12.87</v>
      </c>
      <c r="E72" s="62">
        <v>13.577999999999999</v>
      </c>
      <c r="F72" s="62">
        <v>14.052</v>
      </c>
      <c r="G72" s="62">
        <v>15.997</v>
      </c>
      <c r="H72" s="62">
        <v>16.795000000000002</v>
      </c>
      <c r="I72" s="62">
        <v>19.998000000000001</v>
      </c>
      <c r="J72" s="62">
        <v>19.591999999999999</v>
      </c>
      <c r="K72" s="62">
        <v>21.207999999999998</v>
      </c>
      <c r="L72" s="62">
        <v>22.12</v>
      </c>
      <c r="M72" s="62">
        <v>20.875</v>
      </c>
      <c r="N72" s="62">
        <v>21.393000000000001</v>
      </c>
      <c r="O72" s="62">
        <v>23.518999999999998</v>
      </c>
      <c r="P72" s="62">
        <v>24.488</v>
      </c>
      <c r="Q72" s="62">
        <v>22.689</v>
      </c>
      <c r="R72" s="62">
        <v>20.385000000000002</v>
      </c>
      <c r="S72" s="62">
        <v>19.545000000000002</v>
      </c>
      <c r="T72" s="62">
        <v>16.021999999999998</v>
      </c>
      <c r="U72" s="62">
        <v>16.059000000000001</v>
      </c>
      <c r="V72" s="62">
        <v>14.407</v>
      </c>
      <c r="W72" s="62">
        <v>14.914999999999999</v>
      </c>
      <c r="X72" s="62">
        <v>12.913</v>
      </c>
      <c r="Y72" s="62">
        <v>12.042</v>
      </c>
      <c r="Z72" s="62">
        <v>13.688000000000001</v>
      </c>
      <c r="AA72" s="62">
        <v>15.867000000000001</v>
      </c>
      <c r="AB72" s="62">
        <v>14.385</v>
      </c>
      <c r="AC72" s="62">
        <v>15.425000000000001</v>
      </c>
      <c r="AD72" s="62">
        <v>14.13</v>
      </c>
    </row>
    <row r="73" spans="1:30" x14ac:dyDescent="0.2">
      <c r="A73" s="62">
        <v>72</v>
      </c>
      <c r="B73" s="62">
        <v>333</v>
      </c>
      <c r="C73" s="62">
        <v>26.084</v>
      </c>
      <c r="D73" s="62">
        <v>26.617000000000001</v>
      </c>
      <c r="E73" s="62">
        <v>26.914000000000001</v>
      </c>
      <c r="F73" s="62">
        <v>27.161999999999999</v>
      </c>
      <c r="G73" s="62">
        <v>29.928999999999998</v>
      </c>
      <c r="H73" s="62">
        <v>30.780999999999999</v>
      </c>
      <c r="I73" s="62">
        <v>35.619</v>
      </c>
      <c r="J73" s="62">
        <v>34.368000000000002</v>
      </c>
      <c r="K73" s="62">
        <v>36.747</v>
      </c>
      <c r="L73" s="62">
        <v>38.021000000000001</v>
      </c>
      <c r="M73" s="62">
        <v>39.567999999999998</v>
      </c>
      <c r="N73" s="62">
        <v>40.65</v>
      </c>
      <c r="O73" s="62">
        <v>41.735999999999997</v>
      </c>
      <c r="P73" s="62">
        <v>42.670999999999999</v>
      </c>
      <c r="Q73" s="62">
        <v>42.314</v>
      </c>
      <c r="R73" s="62">
        <v>40.235999999999997</v>
      </c>
      <c r="S73" s="62">
        <v>38.816000000000003</v>
      </c>
      <c r="T73" s="62">
        <v>35.265000000000001</v>
      </c>
      <c r="U73" s="62">
        <v>33.420999999999999</v>
      </c>
      <c r="V73" s="62">
        <v>35</v>
      </c>
      <c r="W73" s="62">
        <v>38.048999999999999</v>
      </c>
      <c r="X73" s="62">
        <v>36.771000000000001</v>
      </c>
      <c r="Y73" s="62">
        <v>34.959000000000003</v>
      </c>
      <c r="Z73" s="62">
        <v>33.130000000000003</v>
      </c>
      <c r="AA73" s="62">
        <v>31.402999999999999</v>
      </c>
      <c r="AB73" s="62">
        <v>30.803000000000001</v>
      </c>
      <c r="AC73" s="62">
        <v>31.14</v>
      </c>
      <c r="AD73" s="62">
        <v>23.887</v>
      </c>
    </row>
    <row r="74" spans="1:30" x14ac:dyDescent="0.2">
      <c r="A74" s="62">
        <v>73</v>
      </c>
      <c r="B74" s="62">
        <v>333</v>
      </c>
      <c r="C74" s="62">
        <v>8.9860000000000007</v>
      </c>
      <c r="D74" s="62">
        <v>8.5020000000000007</v>
      </c>
      <c r="E74" s="62">
        <v>7.9610000000000003</v>
      </c>
      <c r="F74" s="62">
        <v>6.74</v>
      </c>
      <c r="G74" s="62">
        <v>7.1890000000000001</v>
      </c>
      <c r="H74" s="62">
        <v>7.4050000000000002</v>
      </c>
      <c r="I74" s="62">
        <v>7.1849999999999996</v>
      </c>
      <c r="J74" s="62">
        <v>11.356</v>
      </c>
      <c r="K74" s="62">
        <v>14.882999999999999</v>
      </c>
      <c r="L74" s="62">
        <v>18.736000000000001</v>
      </c>
      <c r="M74" s="62">
        <v>17.902000000000001</v>
      </c>
      <c r="N74" s="62">
        <v>18.068000000000001</v>
      </c>
      <c r="O74" s="62">
        <v>24.661000000000001</v>
      </c>
      <c r="P74" s="62">
        <v>19.032</v>
      </c>
      <c r="Q74" s="62">
        <v>18.658999999999999</v>
      </c>
      <c r="R74" s="62">
        <v>23.331</v>
      </c>
      <c r="S74" s="62">
        <v>21.131</v>
      </c>
      <c r="T74" s="62">
        <v>17.850999999999999</v>
      </c>
      <c r="U74" s="62">
        <v>16.794</v>
      </c>
      <c r="V74" s="62">
        <v>17.934999999999999</v>
      </c>
      <c r="W74" s="62">
        <v>17.59</v>
      </c>
      <c r="X74" s="62">
        <v>20.234999999999999</v>
      </c>
      <c r="Y74" s="62">
        <v>18.678000000000001</v>
      </c>
      <c r="Z74" s="62">
        <v>16.425000000000001</v>
      </c>
      <c r="AA74" s="62">
        <v>16.170999999999999</v>
      </c>
      <c r="AB74" s="62">
        <v>15.967000000000001</v>
      </c>
      <c r="AC74" s="62">
        <v>17.988</v>
      </c>
      <c r="AD74" s="62">
        <v>15.803000000000001</v>
      </c>
    </row>
    <row r="75" spans="1:30" x14ac:dyDescent="0.2">
      <c r="A75" s="62">
        <v>74</v>
      </c>
      <c r="B75" s="62">
        <v>334</v>
      </c>
      <c r="C75" s="62">
        <v>8.6679999999999993</v>
      </c>
      <c r="D75" s="62">
        <v>8.9559999999999995</v>
      </c>
      <c r="E75" s="62">
        <v>9.407</v>
      </c>
      <c r="F75" s="62">
        <v>9.641</v>
      </c>
      <c r="G75" s="62">
        <v>10.927</v>
      </c>
      <c r="H75" s="62">
        <v>10.863</v>
      </c>
      <c r="I75" s="62">
        <v>12.292</v>
      </c>
      <c r="J75" s="62">
        <v>11.569000000000001</v>
      </c>
      <c r="K75" s="62">
        <v>12.02</v>
      </c>
      <c r="L75" s="62">
        <v>12.157999999999999</v>
      </c>
      <c r="M75" s="62">
        <v>12.032999999999999</v>
      </c>
      <c r="N75" s="62">
        <v>12.778</v>
      </c>
      <c r="O75" s="62">
        <v>14.439</v>
      </c>
      <c r="P75" s="62">
        <v>15.443</v>
      </c>
      <c r="Q75" s="62">
        <v>16.305</v>
      </c>
      <c r="R75" s="62">
        <v>12.404</v>
      </c>
      <c r="S75" s="62">
        <v>9.4719999999999995</v>
      </c>
      <c r="T75" s="62">
        <v>10.198</v>
      </c>
      <c r="U75" s="62">
        <v>10.356</v>
      </c>
      <c r="V75" s="62">
        <v>9.7249999999999996</v>
      </c>
      <c r="W75" s="62">
        <v>10.946</v>
      </c>
      <c r="X75" s="62">
        <v>11.61</v>
      </c>
      <c r="Y75" s="62">
        <v>11.279</v>
      </c>
      <c r="Z75" s="62">
        <v>10.529</v>
      </c>
      <c r="AA75" s="62">
        <v>11.859</v>
      </c>
      <c r="AB75" s="62">
        <v>11.263</v>
      </c>
      <c r="AC75" s="62">
        <v>11.836</v>
      </c>
      <c r="AD75" s="62">
        <v>11.787000000000001</v>
      </c>
    </row>
    <row r="76" spans="1:30" x14ac:dyDescent="0.2">
      <c r="A76" s="62">
        <v>75</v>
      </c>
      <c r="B76" s="62">
        <v>333</v>
      </c>
      <c r="C76" s="62">
        <v>13.186999999999999</v>
      </c>
      <c r="D76" s="62">
        <v>13.02</v>
      </c>
      <c r="E76" s="62">
        <v>12.885</v>
      </c>
      <c r="F76" s="62">
        <v>12.981999999999999</v>
      </c>
      <c r="G76" s="62">
        <v>13.875</v>
      </c>
      <c r="H76" s="62">
        <v>14.346</v>
      </c>
      <c r="I76" s="62">
        <v>16.945</v>
      </c>
      <c r="J76" s="62">
        <v>16.59</v>
      </c>
      <c r="K76" s="62">
        <v>17.960999999999999</v>
      </c>
      <c r="L76" s="62">
        <v>19.042000000000002</v>
      </c>
      <c r="M76" s="62">
        <v>19.928999999999998</v>
      </c>
      <c r="N76" s="62">
        <v>21.68</v>
      </c>
      <c r="O76" s="62">
        <v>25.806999999999999</v>
      </c>
      <c r="P76" s="62">
        <v>33.816000000000003</v>
      </c>
      <c r="Q76" s="62">
        <v>34.030999999999999</v>
      </c>
      <c r="R76" s="62">
        <v>29.523</v>
      </c>
      <c r="S76" s="62">
        <v>28.297999999999998</v>
      </c>
      <c r="T76" s="62">
        <v>25.143000000000001</v>
      </c>
      <c r="U76" s="62">
        <v>25.677</v>
      </c>
      <c r="V76" s="62">
        <v>25.178000000000001</v>
      </c>
      <c r="W76" s="62">
        <v>26.283999999999999</v>
      </c>
      <c r="X76" s="62">
        <v>22.99</v>
      </c>
      <c r="Y76" s="62">
        <v>21.353999999999999</v>
      </c>
      <c r="Z76" s="62">
        <v>20.065000000000001</v>
      </c>
      <c r="AA76" s="62">
        <v>18.655999999999999</v>
      </c>
      <c r="AB76" s="62">
        <v>20.155000000000001</v>
      </c>
      <c r="AC76" s="62">
        <v>19.673999999999999</v>
      </c>
      <c r="AD76" s="62">
        <v>17.158999999999999</v>
      </c>
    </row>
    <row r="77" spans="1:30" x14ac:dyDescent="0.2">
      <c r="A77" s="62">
        <v>76</v>
      </c>
      <c r="B77" s="62">
        <v>335</v>
      </c>
      <c r="C77" s="62">
        <v>27.977</v>
      </c>
      <c r="D77" s="62">
        <v>29.251999999999999</v>
      </c>
      <c r="E77" s="62">
        <v>29.396999999999998</v>
      </c>
      <c r="F77" s="62">
        <v>27.885999999999999</v>
      </c>
      <c r="G77" s="62">
        <v>29.436</v>
      </c>
      <c r="H77" s="62">
        <v>31.696000000000002</v>
      </c>
      <c r="I77" s="62">
        <v>32.015000000000001</v>
      </c>
      <c r="J77" s="62">
        <v>35.423999999999999</v>
      </c>
      <c r="K77" s="62">
        <v>37.805</v>
      </c>
      <c r="L77" s="62">
        <v>41.41</v>
      </c>
      <c r="M77" s="62">
        <v>41.793999999999997</v>
      </c>
      <c r="N77" s="62">
        <v>43.981999999999999</v>
      </c>
      <c r="O77" s="62">
        <v>43.215000000000003</v>
      </c>
      <c r="P77" s="62">
        <v>45.503</v>
      </c>
      <c r="Q77" s="62">
        <v>45.601999999999997</v>
      </c>
      <c r="R77" s="62">
        <v>42.720999999999997</v>
      </c>
      <c r="S77" s="62">
        <v>42.197000000000003</v>
      </c>
      <c r="T77" s="62">
        <v>33.512</v>
      </c>
      <c r="U77" s="62">
        <v>35.786000000000001</v>
      </c>
      <c r="V77" s="62">
        <v>34.404000000000003</v>
      </c>
      <c r="W77" s="62">
        <v>36.478999999999999</v>
      </c>
      <c r="X77" s="62">
        <v>37.33</v>
      </c>
      <c r="Y77" s="62">
        <v>35.427</v>
      </c>
      <c r="Z77" s="62">
        <v>33.951000000000001</v>
      </c>
      <c r="AA77" s="62">
        <v>30.673999999999999</v>
      </c>
      <c r="AB77" s="62">
        <v>30.030999999999999</v>
      </c>
      <c r="AC77" s="62">
        <v>29.969000000000001</v>
      </c>
      <c r="AD77" s="62">
        <v>25.198</v>
      </c>
    </row>
    <row r="78" spans="1:30" x14ac:dyDescent="0.2">
      <c r="A78" s="62">
        <v>77</v>
      </c>
      <c r="B78" s="62">
        <v>334</v>
      </c>
      <c r="C78" s="62">
        <v>1.044</v>
      </c>
      <c r="D78" s="62">
        <v>1.1359999999999999</v>
      </c>
      <c r="E78" s="62">
        <v>1.208</v>
      </c>
      <c r="F78" s="62">
        <v>1.2509999999999999</v>
      </c>
      <c r="G78" s="62">
        <v>1.361</v>
      </c>
      <c r="H78" s="62">
        <v>1.216</v>
      </c>
      <c r="I78" s="62">
        <v>1.2</v>
      </c>
      <c r="J78" s="62">
        <v>1.36</v>
      </c>
      <c r="K78" s="62">
        <v>1.4910000000000001</v>
      </c>
      <c r="L78" s="62">
        <v>1.841</v>
      </c>
      <c r="M78" s="62">
        <v>1.984</v>
      </c>
      <c r="N78" s="62">
        <v>2.0920000000000001</v>
      </c>
      <c r="O78" s="62">
        <v>2.0830000000000002</v>
      </c>
      <c r="P78" s="62">
        <v>2.157</v>
      </c>
      <c r="Q78" s="62">
        <v>2.4649999999999999</v>
      </c>
      <c r="R78" s="62">
        <v>2.2890000000000001</v>
      </c>
      <c r="S78" s="62">
        <v>2.5270000000000001</v>
      </c>
      <c r="T78" s="62">
        <v>2.5099999999999998</v>
      </c>
      <c r="U78" s="62">
        <v>2.5310000000000001</v>
      </c>
      <c r="V78" s="62">
        <v>2.4809999999999999</v>
      </c>
      <c r="W78" s="62">
        <v>2.7069999999999999</v>
      </c>
      <c r="X78" s="62">
        <v>2.8079999999999998</v>
      </c>
      <c r="Y78" s="62">
        <v>2.6840000000000002</v>
      </c>
      <c r="Z78" s="62">
        <v>2.5950000000000002</v>
      </c>
      <c r="AA78" s="62">
        <v>2.8250000000000002</v>
      </c>
      <c r="AB78" s="62">
        <v>2.7749999999999999</v>
      </c>
      <c r="AC78" s="62">
        <v>3.181</v>
      </c>
      <c r="AD78" s="62">
        <v>2.7290000000000001</v>
      </c>
    </row>
    <row r="79" spans="1:30" x14ac:dyDescent="0.2">
      <c r="A79" s="62">
        <v>78</v>
      </c>
      <c r="B79" s="62">
        <v>335</v>
      </c>
      <c r="C79" s="62">
        <v>33.009</v>
      </c>
      <c r="D79" s="62">
        <v>32.323999999999998</v>
      </c>
      <c r="E79" s="62">
        <v>32.808999999999997</v>
      </c>
      <c r="F79" s="62">
        <v>28.879000000000001</v>
      </c>
      <c r="G79" s="62">
        <v>30.97</v>
      </c>
      <c r="H79" s="62">
        <v>31.79</v>
      </c>
      <c r="I79" s="62">
        <v>33.512999999999998</v>
      </c>
      <c r="J79" s="62">
        <v>34.616999999999997</v>
      </c>
      <c r="K79" s="62">
        <v>37.337000000000003</v>
      </c>
      <c r="L79" s="62">
        <v>40.783999999999999</v>
      </c>
      <c r="M79" s="62">
        <v>41.704000000000001</v>
      </c>
      <c r="N79" s="62">
        <v>41.777000000000001</v>
      </c>
      <c r="O79" s="62">
        <v>39.981000000000002</v>
      </c>
      <c r="P79" s="62">
        <v>32.401000000000003</v>
      </c>
      <c r="Q79" s="62">
        <v>35.814</v>
      </c>
      <c r="R79" s="62">
        <v>39.186</v>
      </c>
      <c r="S79" s="62">
        <v>30.35</v>
      </c>
      <c r="T79" s="62">
        <v>27.332000000000001</v>
      </c>
      <c r="U79" s="62">
        <v>28.202999999999999</v>
      </c>
      <c r="V79" s="62">
        <v>28.350999999999999</v>
      </c>
      <c r="W79" s="62">
        <v>27.838000000000001</v>
      </c>
      <c r="X79" s="62">
        <v>28.545000000000002</v>
      </c>
      <c r="Y79" s="62">
        <v>25.132000000000001</v>
      </c>
      <c r="Z79" s="62">
        <v>23.728999999999999</v>
      </c>
      <c r="AA79" s="62">
        <v>22.49</v>
      </c>
      <c r="AB79" s="62">
        <v>24.239000000000001</v>
      </c>
      <c r="AC79" s="62">
        <v>22.271999999999998</v>
      </c>
      <c r="AD79" s="62">
        <v>19.619</v>
      </c>
    </row>
    <row r="80" spans="1:30" x14ac:dyDescent="0.2">
      <c r="A80" s="62">
        <v>79</v>
      </c>
      <c r="B80" s="62">
        <v>335</v>
      </c>
      <c r="C80" s="62">
        <v>13.904</v>
      </c>
      <c r="D80" s="62">
        <v>14.48</v>
      </c>
      <c r="E80" s="62">
        <v>15.048</v>
      </c>
      <c r="F80" s="62">
        <v>14.512</v>
      </c>
      <c r="G80" s="62">
        <v>15.962999999999999</v>
      </c>
      <c r="H80" s="62">
        <v>15.984999999999999</v>
      </c>
      <c r="I80" s="62">
        <v>16.193999999999999</v>
      </c>
      <c r="J80" s="62">
        <v>17.745999999999999</v>
      </c>
      <c r="K80" s="62">
        <v>19.274000000000001</v>
      </c>
      <c r="L80" s="62">
        <v>20.594999999999999</v>
      </c>
      <c r="M80" s="62">
        <v>21.582999999999998</v>
      </c>
      <c r="N80" s="62">
        <v>21.794</v>
      </c>
      <c r="O80" s="62">
        <v>22.263000000000002</v>
      </c>
      <c r="P80" s="62">
        <v>24.359000000000002</v>
      </c>
      <c r="Q80" s="62">
        <v>26.332000000000001</v>
      </c>
      <c r="R80" s="62">
        <v>24.294</v>
      </c>
      <c r="S80" s="62">
        <v>20.472999999999999</v>
      </c>
      <c r="T80" s="62">
        <v>18.564</v>
      </c>
      <c r="U80" s="62">
        <v>18.837</v>
      </c>
      <c r="V80" s="62">
        <v>19.38</v>
      </c>
      <c r="W80" s="62">
        <v>20.161999999999999</v>
      </c>
      <c r="X80" s="62">
        <v>19.154</v>
      </c>
      <c r="Y80" s="62">
        <v>17.672999999999998</v>
      </c>
      <c r="Z80" s="62">
        <v>17.323</v>
      </c>
      <c r="AA80" s="62">
        <v>17.146999999999998</v>
      </c>
      <c r="AB80" s="62">
        <v>19.146999999999998</v>
      </c>
      <c r="AC80" s="62">
        <v>18.361999999999998</v>
      </c>
      <c r="AD80" s="62">
        <v>17.378</v>
      </c>
    </row>
    <row r="81" spans="1:30" x14ac:dyDescent="0.2">
      <c r="A81" s="62">
        <v>80</v>
      </c>
      <c r="B81" s="62">
        <v>334</v>
      </c>
      <c r="C81" s="62">
        <v>19.337</v>
      </c>
      <c r="D81" s="62">
        <v>20.186</v>
      </c>
      <c r="E81" s="62">
        <v>21.75</v>
      </c>
      <c r="F81" s="62">
        <v>21.265000000000001</v>
      </c>
      <c r="G81" s="62">
        <v>23.556000000000001</v>
      </c>
      <c r="H81" s="62">
        <v>24.119</v>
      </c>
      <c r="I81" s="62">
        <v>25.167999999999999</v>
      </c>
      <c r="J81" s="62">
        <v>28.518000000000001</v>
      </c>
      <c r="K81" s="62">
        <v>31.716999999999999</v>
      </c>
      <c r="L81" s="62">
        <v>34.518000000000001</v>
      </c>
      <c r="M81" s="62">
        <v>34.654000000000003</v>
      </c>
      <c r="N81" s="62">
        <v>36.661000000000001</v>
      </c>
      <c r="O81" s="62">
        <v>34.848999999999997</v>
      </c>
      <c r="P81" s="62">
        <v>36.954999999999998</v>
      </c>
      <c r="Q81" s="62">
        <v>36.997</v>
      </c>
      <c r="R81" s="62">
        <v>32.009</v>
      </c>
      <c r="S81" s="62">
        <v>27.123999999999999</v>
      </c>
      <c r="T81" s="62">
        <v>27.757000000000001</v>
      </c>
      <c r="U81" s="62">
        <v>26.914000000000001</v>
      </c>
      <c r="V81" s="62">
        <v>28.867999999999999</v>
      </c>
      <c r="W81" s="62">
        <v>29.295999999999999</v>
      </c>
      <c r="X81" s="62">
        <v>26.76</v>
      </c>
      <c r="Y81" s="62">
        <v>25.837</v>
      </c>
      <c r="Z81" s="62">
        <v>24.396000000000001</v>
      </c>
      <c r="AA81" s="62">
        <v>26.704999999999998</v>
      </c>
      <c r="AB81" s="62">
        <v>26.952000000000002</v>
      </c>
      <c r="AC81" s="62">
        <v>25.96</v>
      </c>
      <c r="AD81" s="62">
        <v>22.611999999999998</v>
      </c>
    </row>
    <row r="82" spans="1:30" x14ac:dyDescent="0.2">
      <c r="A82" s="62">
        <v>81</v>
      </c>
      <c r="B82" s="62">
        <v>334</v>
      </c>
      <c r="C82" s="62">
        <v>10.134</v>
      </c>
      <c r="D82" s="62">
        <v>10.9</v>
      </c>
      <c r="E82" s="62">
        <v>11.952999999999999</v>
      </c>
      <c r="F82" s="62">
        <v>12.007999999999999</v>
      </c>
      <c r="G82" s="62">
        <v>13.819000000000001</v>
      </c>
      <c r="H82" s="62">
        <v>14.845000000000001</v>
      </c>
      <c r="I82" s="62">
        <v>16.196000000000002</v>
      </c>
      <c r="J82" s="62">
        <v>19.085000000000001</v>
      </c>
      <c r="K82" s="62">
        <v>22.274999999999999</v>
      </c>
      <c r="L82" s="62">
        <v>25.306000000000001</v>
      </c>
      <c r="M82" s="62">
        <v>26.558</v>
      </c>
      <c r="N82" s="62">
        <v>30.108000000000001</v>
      </c>
      <c r="O82" s="62">
        <v>30.308</v>
      </c>
      <c r="P82" s="62">
        <v>28.827999999999999</v>
      </c>
      <c r="Q82" s="62">
        <v>27.510999999999999</v>
      </c>
      <c r="R82" s="62">
        <v>25.26</v>
      </c>
      <c r="S82" s="62">
        <v>20.190999999999999</v>
      </c>
      <c r="T82" s="62">
        <v>20.437000000000001</v>
      </c>
      <c r="U82" s="62">
        <v>20.847000000000001</v>
      </c>
      <c r="V82" s="62">
        <v>21.212</v>
      </c>
      <c r="W82" s="62">
        <v>24.536999999999999</v>
      </c>
      <c r="X82" s="62">
        <v>22.103999999999999</v>
      </c>
      <c r="Y82" s="62">
        <v>23.407</v>
      </c>
      <c r="Z82" s="62">
        <v>22.565000000000001</v>
      </c>
      <c r="AA82" s="62">
        <v>27.135000000000002</v>
      </c>
      <c r="AB82" s="62">
        <v>27.838999999999999</v>
      </c>
      <c r="AC82" s="62">
        <v>28.53</v>
      </c>
      <c r="AD82" s="62">
        <v>30.228000000000002</v>
      </c>
    </row>
    <row r="83" spans="1:30" x14ac:dyDescent="0.2">
      <c r="A83" s="62">
        <v>82</v>
      </c>
      <c r="B83" s="62">
        <v>335</v>
      </c>
      <c r="C83" s="62">
        <v>9.9949999999999992</v>
      </c>
      <c r="D83" s="62">
        <v>10.006</v>
      </c>
      <c r="E83" s="62">
        <v>10.196999999999999</v>
      </c>
      <c r="F83" s="62">
        <v>9.7219999999999995</v>
      </c>
      <c r="G83" s="62">
        <v>10.507999999999999</v>
      </c>
      <c r="H83" s="62">
        <v>10.506</v>
      </c>
      <c r="I83" s="62">
        <v>10.571</v>
      </c>
      <c r="J83" s="62">
        <v>11.598000000000001</v>
      </c>
      <c r="K83" s="62">
        <v>12.528</v>
      </c>
      <c r="L83" s="62">
        <v>13.311</v>
      </c>
      <c r="M83" s="62">
        <v>13.324999999999999</v>
      </c>
      <c r="N83" s="62">
        <v>13.913</v>
      </c>
      <c r="O83" s="62">
        <v>12.901</v>
      </c>
      <c r="P83" s="62">
        <v>15.294</v>
      </c>
      <c r="Q83" s="62">
        <v>15.722</v>
      </c>
      <c r="R83" s="62">
        <v>14.65</v>
      </c>
      <c r="S83" s="62">
        <v>14.225</v>
      </c>
      <c r="T83" s="62">
        <v>13.451000000000001</v>
      </c>
      <c r="U83" s="62">
        <v>15.387</v>
      </c>
      <c r="V83" s="62">
        <v>17.117999999999999</v>
      </c>
      <c r="W83" s="62">
        <v>16.552</v>
      </c>
      <c r="X83" s="62">
        <v>16.41</v>
      </c>
      <c r="Y83" s="62">
        <v>13.897</v>
      </c>
      <c r="Z83" s="62">
        <v>12.581</v>
      </c>
      <c r="AA83" s="62">
        <v>12.742000000000001</v>
      </c>
      <c r="AB83" s="62">
        <v>13.65</v>
      </c>
      <c r="AC83" s="62">
        <v>14.053000000000001</v>
      </c>
      <c r="AD83" s="62">
        <v>12.192</v>
      </c>
    </row>
    <row r="84" spans="1:30" x14ac:dyDescent="0.2">
      <c r="A84" s="62">
        <v>83</v>
      </c>
      <c r="B84" s="62">
        <v>336</v>
      </c>
      <c r="C84" s="62">
        <v>133.571</v>
      </c>
      <c r="D84" s="62">
        <v>137.43899999999999</v>
      </c>
      <c r="E84" s="62">
        <v>145.62100000000001</v>
      </c>
      <c r="F84" s="62">
        <v>133.74199999999999</v>
      </c>
      <c r="G84" s="62">
        <v>147.49100000000001</v>
      </c>
      <c r="H84" s="62">
        <v>151.267</v>
      </c>
      <c r="I84" s="62">
        <v>171.33099999999999</v>
      </c>
      <c r="J84" s="62">
        <v>177.19200000000001</v>
      </c>
      <c r="K84" s="62">
        <v>178.72499999999999</v>
      </c>
      <c r="L84" s="62">
        <v>178.958</v>
      </c>
      <c r="M84" s="62">
        <v>191.42699999999999</v>
      </c>
      <c r="N84" s="62">
        <v>181.75299999999999</v>
      </c>
      <c r="O84" s="62">
        <v>171.815</v>
      </c>
      <c r="P84" s="62">
        <v>184.27799999999999</v>
      </c>
      <c r="Q84" s="62">
        <v>193.31200000000001</v>
      </c>
      <c r="R84" s="62">
        <v>176.34800000000001</v>
      </c>
      <c r="S84" s="62">
        <v>172.21600000000001</v>
      </c>
      <c r="T84" s="62">
        <v>160.14400000000001</v>
      </c>
      <c r="U84" s="62">
        <v>185.58099999999999</v>
      </c>
      <c r="V84" s="62">
        <v>183.565</v>
      </c>
      <c r="W84" s="62">
        <v>188.01300000000001</v>
      </c>
      <c r="X84" s="62">
        <v>175.80799999999999</v>
      </c>
      <c r="Y84" s="62">
        <v>143.66</v>
      </c>
      <c r="Z84" s="62">
        <v>135.06700000000001</v>
      </c>
      <c r="AA84" s="62">
        <v>123.054</v>
      </c>
      <c r="AB84" s="62">
        <v>141.5</v>
      </c>
      <c r="AC84" s="62">
        <v>148.40299999999999</v>
      </c>
      <c r="AD84" s="62">
        <v>135.87899999999999</v>
      </c>
    </row>
    <row r="85" spans="1:30" x14ac:dyDescent="0.2">
      <c r="A85" s="62">
        <v>84</v>
      </c>
      <c r="B85" s="62">
        <v>336</v>
      </c>
      <c r="C85" s="62">
        <v>44.350999999999999</v>
      </c>
      <c r="D85" s="62">
        <v>42.875999999999998</v>
      </c>
      <c r="E85" s="62">
        <v>43.878999999999998</v>
      </c>
      <c r="F85" s="62">
        <v>51.774000000000001</v>
      </c>
      <c r="G85" s="62">
        <v>47.521999999999998</v>
      </c>
      <c r="H85" s="62">
        <v>44.566000000000003</v>
      </c>
      <c r="I85" s="62">
        <v>46.9</v>
      </c>
      <c r="J85" s="62">
        <v>48.536999999999999</v>
      </c>
      <c r="K85" s="62">
        <v>50.813000000000002</v>
      </c>
      <c r="L85" s="62">
        <v>57.256</v>
      </c>
      <c r="M85" s="62">
        <v>60.484999999999999</v>
      </c>
      <c r="N85" s="62">
        <v>63.311999999999998</v>
      </c>
      <c r="O85" s="62">
        <v>57.125999999999998</v>
      </c>
      <c r="P85" s="62">
        <v>56.83</v>
      </c>
      <c r="Q85" s="62">
        <v>50.396999999999998</v>
      </c>
      <c r="R85" s="62">
        <v>50.151000000000003</v>
      </c>
      <c r="S85" s="62">
        <v>45.435000000000002</v>
      </c>
      <c r="T85" s="62">
        <v>44.225000000000001</v>
      </c>
      <c r="U85" s="62">
        <v>43.603999999999999</v>
      </c>
      <c r="V85" s="62">
        <v>42.488999999999997</v>
      </c>
      <c r="W85" s="62">
        <v>43.427999999999997</v>
      </c>
      <c r="X85" s="62">
        <v>43.293999999999997</v>
      </c>
      <c r="Y85" s="62">
        <v>43.698</v>
      </c>
      <c r="Z85" s="62">
        <v>42.22</v>
      </c>
      <c r="AA85" s="62">
        <v>44.655000000000001</v>
      </c>
      <c r="AB85" s="62">
        <v>49.119</v>
      </c>
      <c r="AC85" s="62">
        <v>44.735999999999997</v>
      </c>
      <c r="AD85" s="62">
        <v>39.222000000000001</v>
      </c>
    </row>
    <row r="86" spans="1:30" x14ac:dyDescent="0.2">
      <c r="A86" s="62">
        <v>85</v>
      </c>
      <c r="B86" s="62">
        <v>336</v>
      </c>
      <c r="C86" s="62">
        <v>28.637</v>
      </c>
      <c r="D86" s="62">
        <v>25.486999999999998</v>
      </c>
      <c r="E86" s="62">
        <v>24.789000000000001</v>
      </c>
      <c r="F86" s="62">
        <v>28.041</v>
      </c>
      <c r="G86" s="62">
        <v>24.245999999999999</v>
      </c>
      <c r="H86" s="62">
        <v>22.030999999999999</v>
      </c>
      <c r="I86" s="62">
        <v>22.757000000000001</v>
      </c>
      <c r="J86" s="62">
        <v>23.210999999999999</v>
      </c>
      <c r="K86" s="62">
        <v>23.718</v>
      </c>
      <c r="L86" s="62">
        <v>25.783000000000001</v>
      </c>
      <c r="M86" s="62">
        <v>24.062000000000001</v>
      </c>
      <c r="N86" s="62">
        <v>28.504000000000001</v>
      </c>
      <c r="O86" s="62">
        <v>29.821999999999999</v>
      </c>
      <c r="P86" s="62">
        <v>29.754000000000001</v>
      </c>
      <c r="Q86" s="62">
        <v>35.704999999999998</v>
      </c>
      <c r="R86" s="62">
        <v>35.384</v>
      </c>
      <c r="S86" s="62">
        <v>29.928999999999998</v>
      </c>
      <c r="T86" s="62">
        <v>27.882000000000001</v>
      </c>
      <c r="U86" s="62">
        <v>26.509</v>
      </c>
      <c r="V86" s="62">
        <v>28.34</v>
      </c>
      <c r="W86" s="62">
        <v>31.106999999999999</v>
      </c>
      <c r="X86" s="62">
        <v>28.628</v>
      </c>
      <c r="Y86" s="62">
        <v>28.39</v>
      </c>
      <c r="Z86" s="62">
        <v>28.244</v>
      </c>
      <c r="AA86" s="62">
        <v>22.338000000000001</v>
      </c>
      <c r="AB86" s="62">
        <v>21.978000000000002</v>
      </c>
      <c r="AC86" s="62">
        <v>18.626999999999999</v>
      </c>
      <c r="AD86" s="62">
        <v>17.478999999999999</v>
      </c>
    </row>
    <row r="87" spans="1:30" x14ac:dyDescent="0.2">
      <c r="A87" s="62">
        <v>86</v>
      </c>
      <c r="B87" s="62">
        <v>321</v>
      </c>
      <c r="C87" s="62">
        <v>0.78500000000000003</v>
      </c>
      <c r="D87" s="62">
        <v>0.79700000000000004</v>
      </c>
      <c r="E87" s="62">
        <v>0.71399999999999997</v>
      </c>
      <c r="F87" s="62">
        <v>0.752</v>
      </c>
      <c r="G87" s="62">
        <v>0.63</v>
      </c>
      <c r="H87" s="62">
        <v>0.77</v>
      </c>
      <c r="I87" s="62">
        <v>0.80400000000000005</v>
      </c>
      <c r="J87" s="62">
        <v>0.78100000000000003</v>
      </c>
      <c r="K87" s="62">
        <v>0.746</v>
      </c>
      <c r="L87" s="62">
        <v>0.95499999999999996</v>
      </c>
      <c r="M87" s="62">
        <v>1.2569999999999999</v>
      </c>
      <c r="N87" s="62">
        <v>1.6220000000000001</v>
      </c>
      <c r="O87" s="62">
        <v>2.1040000000000001</v>
      </c>
      <c r="P87" s="62">
        <v>2.508</v>
      </c>
      <c r="Q87" s="62">
        <v>3.1080000000000001</v>
      </c>
      <c r="R87" s="62">
        <v>2.7850000000000001</v>
      </c>
      <c r="S87" s="62">
        <v>1.9119999999999999</v>
      </c>
      <c r="T87" s="62">
        <v>1.3069999999999999</v>
      </c>
      <c r="U87" s="62">
        <v>1.4870000000000001</v>
      </c>
      <c r="V87" s="62">
        <v>1.7</v>
      </c>
      <c r="W87" s="62">
        <v>1.7589999999999999</v>
      </c>
      <c r="X87" s="62">
        <v>2.1520000000000001</v>
      </c>
      <c r="Y87" s="62">
        <v>1.9490000000000001</v>
      </c>
      <c r="Z87" s="62">
        <v>1.4350000000000001</v>
      </c>
      <c r="AA87" s="62">
        <v>1.294</v>
      </c>
      <c r="AB87" s="62">
        <v>1.4610000000000001</v>
      </c>
      <c r="AC87" s="62">
        <v>1.3280000000000001</v>
      </c>
      <c r="AD87" s="62">
        <v>1.0569999999999999</v>
      </c>
    </row>
    <row r="88" spans="1:30" x14ac:dyDescent="0.2">
      <c r="A88" s="62">
        <v>87</v>
      </c>
      <c r="B88" s="62">
        <v>334</v>
      </c>
      <c r="C88" s="62">
        <v>10.06</v>
      </c>
      <c r="D88" s="62">
        <v>10.391</v>
      </c>
      <c r="E88" s="62">
        <v>10.865</v>
      </c>
      <c r="F88" s="62">
        <v>11.355</v>
      </c>
      <c r="G88" s="62">
        <v>13.548999999999999</v>
      </c>
      <c r="H88" s="62">
        <v>12.634</v>
      </c>
      <c r="I88" s="62">
        <v>13.12</v>
      </c>
      <c r="J88" s="62">
        <v>14.884</v>
      </c>
      <c r="K88" s="62">
        <v>14.680999999999999</v>
      </c>
      <c r="L88" s="62">
        <v>17.154</v>
      </c>
      <c r="M88" s="62">
        <v>16.062000000000001</v>
      </c>
      <c r="N88" s="62">
        <v>16.888999999999999</v>
      </c>
      <c r="O88" s="62">
        <v>21.187999999999999</v>
      </c>
      <c r="P88" s="62">
        <v>20.699000000000002</v>
      </c>
      <c r="Q88" s="62">
        <v>19.25</v>
      </c>
      <c r="R88" s="62">
        <v>17.195</v>
      </c>
      <c r="S88" s="62">
        <v>15.731999999999999</v>
      </c>
      <c r="T88" s="62">
        <v>14.814</v>
      </c>
      <c r="U88" s="62">
        <v>14.601000000000001</v>
      </c>
      <c r="V88" s="62">
        <v>15.286</v>
      </c>
      <c r="W88" s="62">
        <v>15.673</v>
      </c>
      <c r="X88" s="62">
        <v>14.795999999999999</v>
      </c>
      <c r="Y88" s="62">
        <v>14.47</v>
      </c>
      <c r="Z88" s="62">
        <v>14.205</v>
      </c>
      <c r="AA88" s="62">
        <v>14.426</v>
      </c>
      <c r="AB88" s="62">
        <v>15.486000000000001</v>
      </c>
      <c r="AC88" s="62">
        <v>15.711</v>
      </c>
      <c r="AD88" s="62">
        <v>14.845000000000001</v>
      </c>
    </row>
    <row r="89" spans="1:30" x14ac:dyDescent="0.2">
      <c r="A89" s="62">
        <v>88</v>
      </c>
      <c r="B89" s="62">
        <v>333</v>
      </c>
      <c r="C89" s="62">
        <v>24.152000000000001</v>
      </c>
      <c r="D89" s="62">
        <v>22.855</v>
      </c>
      <c r="E89" s="62">
        <v>21.225999999999999</v>
      </c>
      <c r="F89" s="62">
        <v>19.773</v>
      </c>
      <c r="G89" s="62">
        <v>20.87</v>
      </c>
      <c r="H89" s="62">
        <v>17.638000000000002</v>
      </c>
      <c r="I89" s="62">
        <v>16.163</v>
      </c>
      <c r="J89" s="62">
        <v>17.795999999999999</v>
      </c>
      <c r="K89" s="62">
        <v>16.135000000000002</v>
      </c>
      <c r="L89" s="62">
        <v>29.292000000000002</v>
      </c>
      <c r="M89" s="62">
        <v>21.399000000000001</v>
      </c>
      <c r="N89" s="62">
        <v>33.015999999999998</v>
      </c>
      <c r="O89" s="62">
        <v>27.356999999999999</v>
      </c>
      <c r="P89" s="62">
        <v>33.677</v>
      </c>
      <c r="Q89" s="62">
        <v>38.981999999999999</v>
      </c>
      <c r="R89" s="62">
        <v>32.756999999999998</v>
      </c>
      <c r="S89" s="62">
        <v>32.805999999999997</v>
      </c>
      <c r="T89" s="62">
        <v>30.870999999999999</v>
      </c>
      <c r="U89" s="62">
        <v>34.808999999999997</v>
      </c>
      <c r="V89" s="62">
        <v>32.293999999999997</v>
      </c>
      <c r="W89" s="62">
        <v>30.792000000000002</v>
      </c>
      <c r="X89" s="62">
        <v>37.655999999999999</v>
      </c>
      <c r="Y89" s="62">
        <v>38.003</v>
      </c>
      <c r="Z89" s="62">
        <v>34.837000000000003</v>
      </c>
      <c r="AA89" s="62">
        <v>36.314999999999998</v>
      </c>
      <c r="AB89" s="62">
        <v>40.814</v>
      </c>
      <c r="AC89" s="62">
        <v>41.64</v>
      </c>
      <c r="AD89" s="62">
        <v>36.774000000000001</v>
      </c>
    </row>
    <row r="90" spans="1:30" x14ac:dyDescent="0.2">
      <c r="A90" s="62">
        <v>89</v>
      </c>
      <c r="B90" s="62">
        <v>339</v>
      </c>
      <c r="C90" s="62">
        <v>34.918999999999997</v>
      </c>
      <c r="D90" s="62">
        <v>29.728999999999999</v>
      </c>
      <c r="E90" s="62">
        <v>28.260999999999999</v>
      </c>
      <c r="F90" s="62">
        <v>23.369</v>
      </c>
      <c r="G90" s="62">
        <v>27.983000000000001</v>
      </c>
      <c r="H90" s="62">
        <v>24.481999999999999</v>
      </c>
      <c r="I90" s="62">
        <v>23.654</v>
      </c>
      <c r="J90" s="62">
        <v>24.344999999999999</v>
      </c>
      <c r="K90" s="62">
        <v>32.229999999999997</v>
      </c>
      <c r="L90" s="62">
        <v>33.563000000000002</v>
      </c>
      <c r="M90" s="62">
        <v>35.796999999999997</v>
      </c>
      <c r="N90" s="62">
        <v>36.066000000000003</v>
      </c>
      <c r="O90" s="62">
        <v>39.082000000000001</v>
      </c>
      <c r="P90" s="62">
        <v>41.152999999999999</v>
      </c>
      <c r="Q90" s="62">
        <v>46.9</v>
      </c>
      <c r="R90" s="62">
        <v>40.066000000000003</v>
      </c>
      <c r="S90" s="62">
        <v>35.384999999999998</v>
      </c>
      <c r="T90" s="62">
        <v>32.04</v>
      </c>
      <c r="U90" s="62">
        <v>31.736999999999998</v>
      </c>
      <c r="V90" s="62">
        <v>30.712</v>
      </c>
      <c r="W90" s="62">
        <v>32.173000000000002</v>
      </c>
      <c r="X90" s="62">
        <v>30.937000000000001</v>
      </c>
      <c r="Y90" s="62">
        <v>29.077999999999999</v>
      </c>
      <c r="Z90" s="62">
        <v>26.722000000000001</v>
      </c>
      <c r="AA90" s="62">
        <v>22.975999999999999</v>
      </c>
      <c r="AB90" s="62">
        <v>24.809000000000001</v>
      </c>
      <c r="AC90" s="62">
        <v>24.38</v>
      </c>
      <c r="AD90" s="62">
        <v>20.68</v>
      </c>
    </row>
    <row r="91" spans="1:30" x14ac:dyDescent="0.2">
      <c r="A91" s="62">
        <v>90</v>
      </c>
      <c r="B91" s="62">
        <v>500</v>
      </c>
      <c r="C91" s="62">
        <v>119.795</v>
      </c>
      <c r="D91" s="62">
        <v>107.43899999999999</v>
      </c>
      <c r="E91" s="62">
        <v>101.169</v>
      </c>
      <c r="F91" s="62">
        <v>89.128</v>
      </c>
      <c r="G91" s="62">
        <v>78.992999999999995</v>
      </c>
      <c r="H91" s="62">
        <v>73.078000000000003</v>
      </c>
      <c r="I91" s="62">
        <v>74.795000000000002</v>
      </c>
      <c r="J91" s="62">
        <v>65.113</v>
      </c>
      <c r="K91" s="62">
        <v>64.518000000000001</v>
      </c>
      <c r="L91" s="62">
        <v>74.063999999999993</v>
      </c>
      <c r="M91" s="62">
        <v>61.145000000000003</v>
      </c>
      <c r="N91" s="62">
        <v>51.411000000000001</v>
      </c>
      <c r="O91" s="62">
        <v>44.686999999999998</v>
      </c>
      <c r="P91" s="62">
        <v>38.759</v>
      </c>
      <c r="Q91" s="62">
        <v>32.548999999999999</v>
      </c>
      <c r="R91" s="62">
        <v>29.145</v>
      </c>
      <c r="S91" s="62">
        <v>30.812999999999999</v>
      </c>
      <c r="T91" s="62">
        <v>24.675999999999998</v>
      </c>
      <c r="U91" s="62">
        <v>23.053000000000001</v>
      </c>
      <c r="V91" s="62">
        <v>21.402000000000001</v>
      </c>
      <c r="W91" s="62">
        <v>18.53</v>
      </c>
      <c r="X91" s="62">
        <v>18.515999999999998</v>
      </c>
      <c r="Y91" s="62">
        <v>19.231999999999999</v>
      </c>
      <c r="Z91" s="62">
        <v>15.224</v>
      </c>
      <c r="AA91" s="62">
        <v>16.155999999999999</v>
      </c>
      <c r="AB91" s="62">
        <v>11.417</v>
      </c>
      <c r="AC91" s="62">
        <v>9.5079999999999991</v>
      </c>
      <c r="AD91" s="62">
        <v>9.5239999999999991</v>
      </c>
    </row>
    <row r="92" spans="1:30" x14ac:dyDescent="0.2">
      <c r="A92" s="62">
        <v>91</v>
      </c>
      <c r="B92" s="62">
        <v>500</v>
      </c>
      <c r="C92" s="62">
        <v>0.84099999999999997</v>
      </c>
      <c r="D92" s="62">
        <v>0.85899999999999999</v>
      </c>
      <c r="E92" s="62">
        <v>0.84599999999999997</v>
      </c>
      <c r="F92" s="62">
        <v>0.85299999999999998</v>
      </c>
      <c r="G92" s="62">
        <v>0.82299999999999995</v>
      </c>
      <c r="H92" s="62">
        <v>0.81200000000000006</v>
      </c>
      <c r="I92" s="62">
        <v>0.80100000000000005</v>
      </c>
      <c r="J92" s="62">
        <v>0.79300000000000004</v>
      </c>
      <c r="K92" s="62">
        <v>0.86599999999999999</v>
      </c>
      <c r="L92" s="62">
        <v>0.93899999999999995</v>
      </c>
      <c r="M92" s="62">
        <v>0.98299999999999998</v>
      </c>
      <c r="N92" s="62">
        <v>1.014</v>
      </c>
      <c r="O92" s="62">
        <v>1.0609999999999999</v>
      </c>
      <c r="P92" s="62">
        <v>1.173</v>
      </c>
      <c r="Q92" s="62">
        <v>1.085</v>
      </c>
      <c r="R92" s="62">
        <v>1.071</v>
      </c>
      <c r="S92" s="62">
        <v>1.157</v>
      </c>
      <c r="T92" s="62">
        <v>1.1120000000000001</v>
      </c>
      <c r="U92" s="62">
        <v>1.0529999999999999</v>
      </c>
      <c r="V92" s="62">
        <v>1.2030000000000001</v>
      </c>
      <c r="W92" s="62">
        <v>1.2909999999999999</v>
      </c>
      <c r="X92" s="62">
        <v>1.329</v>
      </c>
      <c r="Y92" s="62">
        <v>1.395</v>
      </c>
      <c r="Z92" s="62">
        <v>1.3080000000000001</v>
      </c>
      <c r="AA92" s="62">
        <v>1.407</v>
      </c>
      <c r="AB92" s="62">
        <v>1.2350000000000001</v>
      </c>
      <c r="AC92" s="62">
        <v>1.4770000000000001</v>
      </c>
      <c r="AD92" s="62">
        <v>1.331</v>
      </c>
    </row>
    <row r="93" spans="1:30" x14ac:dyDescent="0.2">
      <c r="A93" s="62">
        <v>92</v>
      </c>
      <c r="B93" s="62">
        <v>500</v>
      </c>
      <c r="C93" s="62">
        <v>5.25</v>
      </c>
      <c r="D93" s="62">
        <v>5.3570000000000002</v>
      </c>
      <c r="E93" s="62">
        <v>5.407</v>
      </c>
      <c r="F93" s="62">
        <v>5.6630000000000003</v>
      </c>
      <c r="G93" s="62">
        <v>5.8179999999999996</v>
      </c>
      <c r="H93" s="62">
        <v>6.1630000000000003</v>
      </c>
      <c r="I93" s="62">
        <v>6.1630000000000003</v>
      </c>
      <c r="J93" s="62">
        <v>6.2229999999999999</v>
      </c>
      <c r="K93" s="62">
        <v>6.5369999999999999</v>
      </c>
      <c r="L93" s="62">
        <v>7.1509999999999998</v>
      </c>
      <c r="M93" s="62">
        <v>7.6429999999999998</v>
      </c>
      <c r="N93" s="62">
        <v>8.048</v>
      </c>
      <c r="O93" s="62">
        <v>8.593</v>
      </c>
      <c r="P93" s="62">
        <v>9.9499999999999993</v>
      </c>
      <c r="Q93" s="62">
        <v>10.143000000000001</v>
      </c>
      <c r="R93" s="62">
        <v>10.438000000000001</v>
      </c>
      <c r="S93" s="62">
        <v>10.433999999999999</v>
      </c>
      <c r="T93" s="62">
        <v>10.122</v>
      </c>
      <c r="U93" s="62">
        <v>10.391999999999999</v>
      </c>
      <c r="V93" s="62">
        <v>10.782</v>
      </c>
      <c r="W93" s="62">
        <v>11.335000000000001</v>
      </c>
      <c r="X93" s="62">
        <v>11.856</v>
      </c>
      <c r="Y93" s="62">
        <v>12.62</v>
      </c>
      <c r="Z93" s="62">
        <v>12.693</v>
      </c>
      <c r="AA93" s="62">
        <v>14.042</v>
      </c>
      <c r="AB93" s="62">
        <v>12.042999999999999</v>
      </c>
      <c r="AC93" s="62">
        <v>14.465999999999999</v>
      </c>
      <c r="AD93" s="62">
        <v>13.068</v>
      </c>
    </row>
    <row r="94" spans="1:30" x14ac:dyDescent="0.2">
      <c r="A94" s="62">
        <v>93</v>
      </c>
      <c r="B94" s="62">
        <v>500</v>
      </c>
      <c r="C94" s="62">
        <v>1.53</v>
      </c>
      <c r="D94" s="62">
        <v>1.6319999999999999</v>
      </c>
      <c r="E94" s="62">
        <v>1.6020000000000001</v>
      </c>
      <c r="F94" s="62">
        <v>1.589</v>
      </c>
      <c r="G94" s="62">
        <v>1.536</v>
      </c>
      <c r="H94" s="62">
        <v>1.5169999999999999</v>
      </c>
      <c r="I94" s="62">
        <v>1.5609999999999999</v>
      </c>
      <c r="J94" s="62">
        <v>1.5089999999999999</v>
      </c>
      <c r="K94" s="62">
        <v>1.718</v>
      </c>
      <c r="L94" s="62">
        <v>1.8260000000000001</v>
      </c>
      <c r="M94" s="62">
        <v>1.885</v>
      </c>
      <c r="N94" s="62">
        <v>1.829</v>
      </c>
      <c r="O94" s="62">
        <v>1.8540000000000001</v>
      </c>
      <c r="P94" s="62">
        <v>1.883</v>
      </c>
      <c r="Q94" s="62">
        <v>1.8109999999999999</v>
      </c>
      <c r="R94" s="62">
        <v>1.8120000000000001</v>
      </c>
      <c r="S94" s="62">
        <v>1.81</v>
      </c>
      <c r="T94" s="62">
        <v>1.732</v>
      </c>
      <c r="U94" s="62">
        <v>1.704</v>
      </c>
      <c r="V94" s="62">
        <v>1.772</v>
      </c>
      <c r="W94" s="62">
        <v>2.0510000000000002</v>
      </c>
      <c r="X94" s="62">
        <v>2.101</v>
      </c>
      <c r="Y94" s="62">
        <v>2.274</v>
      </c>
      <c r="Z94" s="62">
        <v>2.4060000000000001</v>
      </c>
      <c r="AA94" s="62">
        <v>2.5910000000000002</v>
      </c>
      <c r="AB94" s="62">
        <v>2.1179999999999999</v>
      </c>
      <c r="AC94" s="62">
        <v>2.3639999999999999</v>
      </c>
      <c r="AD94" s="62">
        <v>1.976</v>
      </c>
    </row>
    <row r="95" spans="1:30" x14ac:dyDescent="0.2">
      <c r="A95" s="62">
        <v>94</v>
      </c>
      <c r="B95" s="62">
        <v>500</v>
      </c>
      <c r="C95" s="62">
        <v>1.1140000000000001</v>
      </c>
      <c r="D95" s="62">
        <v>1.2190000000000001</v>
      </c>
      <c r="E95" s="62">
        <v>1.3129999999999999</v>
      </c>
      <c r="F95" s="62">
        <v>1.3640000000000001</v>
      </c>
      <c r="G95" s="62">
        <v>1.35</v>
      </c>
      <c r="H95" s="62">
        <v>1.38</v>
      </c>
      <c r="I95" s="62">
        <v>1.446</v>
      </c>
      <c r="J95" s="62">
        <v>1.5289999999999999</v>
      </c>
      <c r="K95" s="62">
        <v>1.833</v>
      </c>
      <c r="L95" s="62">
        <v>2.258</v>
      </c>
      <c r="M95" s="62">
        <v>2.5920000000000001</v>
      </c>
      <c r="N95" s="62">
        <v>2.8780000000000001</v>
      </c>
      <c r="O95" s="62">
        <v>3.0030000000000001</v>
      </c>
      <c r="P95" s="62">
        <v>3.2370000000000001</v>
      </c>
      <c r="Q95" s="62">
        <v>3.117</v>
      </c>
      <c r="R95" s="62">
        <v>3.2749999999999999</v>
      </c>
      <c r="S95" s="62">
        <v>3.258</v>
      </c>
      <c r="T95" s="62">
        <v>3.2509999999999999</v>
      </c>
      <c r="U95" s="62">
        <v>3.26</v>
      </c>
      <c r="V95" s="62">
        <v>3.508</v>
      </c>
      <c r="W95" s="62">
        <v>3.976</v>
      </c>
      <c r="X95" s="62">
        <v>4.4420000000000002</v>
      </c>
      <c r="Y95" s="62">
        <v>4.9009999999999998</v>
      </c>
      <c r="Z95" s="62">
        <v>5.01</v>
      </c>
      <c r="AA95" s="62">
        <v>5.7080000000000002</v>
      </c>
      <c r="AB95" s="62">
        <v>5.0880000000000001</v>
      </c>
      <c r="AC95" s="62">
        <v>6.0149999999999997</v>
      </c>
      <c r="AD95" s="62">
        <v>5.452</v>
      </c>
    </row>
    <row r="96" spans="1:30" x14ac:dyDescent="0.2">
      <c r="A96" s="62">
        <v>95</v>
      </c>
      <c r="B96" s="62">
        <v>500</v>
      </c>
      <c r="C96" s="62">
        <v>7.0000000000000007E-2</v>
      </c>
      <c r="D96" s="62">
        <v>6.8000000000000005E-2</v>
      </c>
      <c r="E96" s="62">
        <v>6.7000000000000004E-2</v>
      </c>
      <c r="F96" s="62">
        <v>7.2999999999999995E-2</v>
      </c>
      <c r="G96" s="62">
        <v>6.3E-2</v>
      </c>
      <c r="H96" s="62">
        <v>5.8000000000000003E-2</v>
      </c>
      <c r="I96" s="62">
        <v>6.2E-2</v>
      </c>
      <c r="J96" s="62">
        <v>6.2E-2</v>
      </c>
      <c r="K96" s="62">
        <v>6.0999999999999999E-2</v>
      </c>
      <c r="L96" s="62">
        <v>6.2E-2</v>
      </c>
      <c r="M96" s="62">
        <v>6.5000000000000002E-2</v>
      </c>
      <c r="N96" s="62">
        <v>7.0999999999999994E-2</v>
      </c>
      <c r="O96" s="62">
        <v>7.6999999999999999E-2</v>
      </c>
      <c r="P96" s="62">
        <v>8.7999999999999995E-2</v>
      </c>
      <c r="Q96" s="62">
        <v>8.2000000000000003E-2</v>
      </c>
      <c r="R96" s="62">
        <v>8.2000000000000003E-2</v>
      </c>
      <c r="S96" s="62">
        <v>8.1000000000000003E-2</v>
      </c>
      <c r="T96" s="62">
        <v>8.5999999999999993E-2</v>
      </c>
      <c r="U96" s="62">
        <v>9.0999999999999998E-2</v>
      </c>
      <c r="V96" s="62">
        <v>9.9000000000000005E-2</v>
      </c>
      <c r="W96" s="62">
        <v>0.108</v>
      </c>
      <c r="X96" s="62">
        <v>0.114</v>
      </c>
      <c r="Y96" s="62">
        <v>0.124</v>
      </c>
      <c r="Z96" s="62">
        <v>0.127</v>
      </c>
      <c r="AA96" s="62">
        <v>0.14299999999999999</v>
      </c>
      <c r="AB96" s="62">
        <v>0.111</v>
      </c>
      <c r="AC96" s="62">
        <v>0.11799999999999999</v>
      </c>
      <c r="AD96" s="62">
        <v>9.7000000000000003E-2</v>
      </c>
    </row>
    <row r="97" spans="1:30" x14ac:dyDescent="0.2">
      <c r="A97" s="62">
        <v>96</v>
      </c>
      <c r="B97" s="62">
        <v>500</v>
      </c>
      <c r="C97" s="62">
        <v>0.17399999999999999</v>
      </c>
      <c r="D97" s="62">
        <v>0.19</v>
      </c>
      <c r="E97" s="62">
        <v>0.193</v>
      </c>
      <c r="F97" s="62">
        <v>0.19700000000000001</v>
      </c>
      <c r="G97" s="62">
        <v>0.19500000000000001</v>
      </c>
      <c r="H97" s="62">
        <v>0.19800000000000001</v>
      </c>
      <c r="I97" s="62">
        <v>0.20699999999999999</v>
      </c>
      <c r="J97" s="62">
        <v>0.20899999999999999</v>
      </c>
      <c r="K97" s="62">
        <v>0.24</v>
      </c>
      <c r="L97" s="62">
        <v>0.27</v>
      </c>
      <c r="M97" s="62">
        <v>0.28000000000000003</v>
      </c>
      <c r="N97" s="62">
        <v>0.30599999999999999</v>
      </c>
      <c r="O97" s="62">
        <v>0.33200000000000002</v>
      </c>
      <c r="P97" s="62">
        <v>0.36699999999999999</v>
      </c>
      <c r="Q97" s="62">
        <v>0.35499999999999998</v>
      </c>
      <c r="R97" s="62">
        <v>0.379</v>
      </c>
      <c r="S97" s="62">
        <v>0.39300000000000002</v>
      </c>
      <c r="T97" s="62">
        <v>0.39700000000000002</v>
      </c>
      <c r="U97" s="62">
        <v>0.42299999999999999</v>
      </c>
      <c r="V97" s="62">
        <v>0.47899999999999998</v>
      </c>
      <c r="W97" s="62">
        <v>0.56100000000000005</v>
      </c>
      <c r="X97" s="62">
        <v>0.61199999999999999</v>
      </c>
      <c r="Y97" s="62">
        <v>0.67500000000000004</v>
      </c>
      <c r="Z97" s="62">
        <v>0.69799999999999995</v>
      </c>
      <c r="AA97" s="62">
        <v>0.82599999999999996</v>
      </c>
      <c r="AB97" s="62">
        <v>0.75</v>
      </c>
      <c r="AC97" s="62">
        <v>0.92900000000000005</v>
      </c>
      <c r="AD97" s="62">
        <v>0.86399999999999999</v>
      </c>
    </row>
    <row r="98" spans="1:30" x14ac:dyDescent="0.2">
      <c r="A98" s="62">
        <v>97</v>
      </c>
      <c r="B98" s="62">
        <v>500</v>
      </c>
      <c r="C98" s="62">
        <v>8.9239999999999995</v>
      </c>
      <c r="D98" s="62">
        <v>9.5250000000000004</v>
      </c>
      <c r="E98" s="62">
        <v>12</v>
      </c>
      <c r="F98" s="62">
        <v>10.417</v>
      </c>
      <c r="G98" s="62">
        <v>10.917</v>
      </c>
      <c r="H98" s="62">
        <v>11.391999999999999</v>
      </c>
      <c r="I98" s="62">
        <v>12</v>
      </c>
      <c r="J98" s="62">
        <v>12.657</v>
      </c>
      <c r="K98" s="62">
        <v>13.364000000000001</v>
      </c>
      <c r="L98" s="62">
        <v>14.042</v>
      </c>
      <c r="M98" s="62">
        <v>14.744</v>
      </c>
      <c r="N98" s="62">
        <v>15.519</v>
      </c>
      <c r="O98" s="62">
        <v>16.225999999999999</v>
      </c>
      <c r="P98" s="62">
        <v>16.838000000000001</v>
      </c>
      <c r="Q98" s="62">
        <v>17.733000000000001</v>
      </c>
      <c r="R98" s="62">
        <v>17.696999999999999</v>
      </c>
      <c r="S98" s="62">
        <v>16.344000000000001</v>
      </c>
      <c r="T98" s="62">
        <v>16.228000000000002</v>
      </c>
      <c r="U98" s="62">
        <v>16.655999999999999</v>
      </c>
      <c r="V98" s="62">
        <v>14.842000000000001</v>
      </c>
      <c r="W98" s="62">
        <v>16.93</v>
      </c>
      <c r="X98" s="62">
        <v>19.021999999999998</v>
      </c>
      <c r="Y98" s="62">
        <v>20.670999999999999</v>
      </c>
      <c r="Z98" s="62">
        <v>21.792999999999999</v>
      </c>
      <c r="AA98" s="62">
        <v>22.876999999999999</v>
      </c>
      <c r="AB98" s="62">
        <v>23.997</v>
      </c>
      <c r="AC98" s="62">
        <v>25.161999999999999</v>
      </c>
      <c r="AD98" s="62">
        <v>26.42</v>
      </c>
    </row>
    <row r="99" spans="1:30" x14ac:dyDescent="0.2">
      <c r="A99" s="62">
        <v>98</v>
      </c>
      <c r="B99" s="62">
        <v>500</v>
      </c>
      <c r="C99" s="62">
        <v>5</v>
      </c>
      <c r="D99" s="62">
        <v>5.3380000000000001</v>
      </c>
      <c r="E99" s="62">
        <v>5.4459999999999997</v>
      </c>
      <c r="F99" s="62">
        <v>5.66</v>
      </c>
      <c r="G99" s="62">
        <v>5.6239999999999997</v>
      </c>
      <c r="H99" s="62">
        <v>5.8310000000000004</v>
      </c>
      <c r="I99" s="62">
        <v>6.0129999999999999</v>
      </c>
      <c r="J99" s="62">
        <v>6.0910000000000002</v>
      </c>
      <c r="K99" s="62">
        <v>6.53</v>
      </c>
      <c r="L99" s="62">
        <v>7.0339999999999998</v>
      </c>
      <c r="M99" s="62">
        <v>7.4710000000000001</v>
      </c>
      <c r="N99" s="62">
        <v>8.1880000000000006</v>
      </c>
      <c r="O99" s="62">
        <v>8.7929999999999993</v>
      </c>
      <c r="P99" s="62">
        <v>10.029</v>
      </c>
      <c r="Q99" s="62">
        <v>9.7629999999999999</v>
      </c>
      <c r="R99" s="62">
        <v>9.64</v>
      </c>
      <c r="S99" s="62">
        <v>9.6489999999999991</v>
      </c>
      <c r="T99" s="62">
        <v>9.6180000000000003</v>
      </c>
      <c r="U99" s="62">
        <v>9.6880000000000006</v>
      </c>
      <c r="V99" s="62">
        <v>10.244</v>
      </c>
      <c r="W99" s="62">
        <v>11.016999999999999</v>
      </c>
      <c r="X99" s="62">
        <v>11.573</v>
      </c>
      <c r="Y99" s="62">
        <v>12.914999999999999</v>
      </c>
      <c r="Z99" s="62">
        <v>13.396000000000001</v>
      </c>
      <c r="AA99" s="62">
        <v>15.983000000000001</v>
      </c>
      <c r="AB99" s="62">
        <v>14.233000000000001</v>
      </c>
      <c r="AC99" s="62">
        <v>16.574999999999999</v>
      </c>
      <c r="AD99" s="62">
        <v>14.676</v>
      </c>
    </row>
    <row r="100" spans="1:30" x14ac:dyDescent="0.2">
      <c r="A100" s="62">
        <v>99</v>
      </c>
      <c r="B100" s="62">
        <v>500</v>
      </c>
      <c r="C100" s="62">
        <v>0</v>
      </c>
      <c r="D100" s="62">
        <v>0</v>
      </c>
      <c r="E100" s="62">
        <v>0</v>
      </c>
      <c r="F100" s="62">
        <v>0</v>
      </c>
      <c r="G100" s="62">
        <v>0</v>
      </c>
      <c r="H100" s="62">
        <v>0</v>
      </c>
      <c r="I100" s="62">
        <v>0</v>
      </c>
      <c r="J100" s="62">
        <v>0</v>
      </c>
      <c r="K100" s="62">
        <v>0</v>
      </c>
      <c r="L100" s="62">
        <v>0</v>
      </c>
      <c r="M100" s="62">
        <v>0</v>
      </c>
      <c r="N100" s="62">
        <v>0</v>
      </c>
      <c r="O100" s="62">
        <v>0</v>
      </c>
      <c r="P100" s="62">
        <v>0</v>
      </c>
      <c r="Q100" s="62">
        <v>0</v>
      </c>
      <c r="R100" s="62">
        <v>0</v>
      </c>
      <c r="S100" s="62">
        <v>0</v>
      </c>
      <c r="T100" s="62">
        <v>0</v>
      </c>
      <c r="U100" s="62">
        <v>0</v>
      </c>
      <c r="V100" s="62">
        <v>0</v>
      </c>
      <c r="W100" s="62">
        <v>0</v>
      </c>
      <c r="X100" s="62">
        <v>0</v>
      </c>
      <c r="Y100" s="62">
        <v>0</v>
      </c>
      <c r="Z100" s="62">
        <v>0</v>
      </c>
      <c r="AA100" s="62">
        <v>0</v>
      </c>
      <c r="AB100" s="62">
        <v>0</v>
      </c>
      <c r="AC100" s="62">
        <v>0</v>
      </c>
      <c r="AD100" s="62">
        <v>0</v>
      </c>
    </row>
    <row r="101" spans="1:30" x14ac:dyDescent="0.2">
      <c r="A101" s="62">
        <v>100</v>
      </c>
      <c r="B101" s="62">
        <v>500</v>
      </c>
      <c r="C101" s="62">
        <v>0</v>
      </c>
      <c r="D101" s="62">
        <v>0</v>
      </c>
      <c r="E101" s="62">
        <v>0</v>
      </c>
      <c r="F101" s="62">
        <v>0</v>
      </c>
      <c r="G101" s="62">
        <v>0</v>
      </c>
      <c r="H101" s="62">
        <v>0</v>
      </c>
      <c r="I101" s="62">
        <v>0</v>
      </c>
      <c r="J101" s="62">
        <v>0</v>
      </c>
      <c r="K101" s="62">
        <v>0</v>
      </c>
      <c r="L101" s="62">
        <v>0</v>
      </c>
      <c r="M101" s="62">
        <v>0</v>
      </c>
      <c r="N101" s="62">
        <v>0</v>
      </c>
      <c r="O101" s="62">
        <v>0</v>
      </c>
      <c r="P101" s="62">
        <v>0</v>
      </c>
      <c r="Q101" s="62">
        <v>0</v>
      </c>
      <c r="R101" s="62">
        <v>0</v>
      </c>
      <c r="S101" s="62">
        <v>0</v>
      </c>
      <c r="T101" s="62">
        <v>0</v>
      </c>
      <c r="U101" s="62">
        <v>0</v>
      </c>
      <c r="V101" s="62">
        <v>0</v>
      </c>
      <c r="W101" s="62">
        <v>0</v>
      </c>
      <c r="X101" s="62">
        <v>0</v>
      </c>
      <c r="Y101" s="62">
        <v>0</v>
      </c>
      <c r="Z101" s="62">
        <v>0</v>
      </c>
      <c r="AA101" s="62">
        <v>0</v>
      </c>
      <c r="AB101" s="62">
        <v>0</v>
      </c>
      <c r="AC101" s="62">
        <v>0</v>
      </c>
      <c r="AD101" s="62">
        <v>0</v>
      </c>
    </row>
    <row r="102" spans="1:30" x14ac:dyDescent="0.2">
      <c r="A102" s="62">
        <v>101</v>
      </c>
      <c r="B102" s="62">
        <v>500</v>
      </c>
      <c r="C102" s="62">
        <v>0</v>
      </c>
      <c r="D102" s="62">
        <v>0</v>
      </c>
      <c r="E102" s="62">
        <v>0</v>
      </c>
      <c r="F102" s="62">
        <v>0</v>
      </c>
      <c r="G102" s="62">
        <v>0</v>
      </c>
      <c r="H102" s="62">
        <v>0</v>
      </c>
      <c r="I102" s="62">
        <v>0</v>
      </c>
      <c r="J102" s="62">
        <v>0</v>
      </c>
      <c r="K102" s="62">
        <v>0</v>
      </c>
      <c r="L102" s="62">
        <v>0</v>
      </c>
      <c r="M102" s="62">
        <v>0</v>
      </c>
      <c r="N102" s="62">
        <v>0</v>
      </c>
      <c r="O102" s="62">
        <v>0</v>
      </c>
      <c r="P102" s="62">
        <v>0</v>
      </c>
      <c r="Q102" s="62">
        <v>0</v>
      </c>
      <c r="R102" s="62">
        <v>0</v>
      </c>
      <c r="S102" s="62">
        <v>0</v>
      </c>
      <c r="T102" s="62">
        <v>0</v>
      </c>
      <c r="U102" s="62">
        <v>0</v>
      </c>
      <c r="V102" s="62">
        <v>0</v>
      </c>
      <c r="W102" s="62">
        <v>0</v>
      </c>
      <c r="X102" s="62">
        <v>0</v>
      </c>
      <c r="Y102" s="62">
        <v>0</v>
      </c>
      <c r="Z102" s="62">
        <v>0</v>
      </c>
      <c r="AA102" s="62">
        <v>0</v>
      </c>
      <c r="AB102" s="62">
        <v>0</v>
      </c>
      <c r="AC102" s="62">
        <v>0</v>
      </c>
      <c r="AD102" s="62">
        <v>0</v>
      </c>
    </row>
    <row r="103" spans="1:30" x14ac:dyDescent="0.2">
      <c r="A103" s="62">
        <v>102</v>
      </c>
      <c r="B103" s="62">
        <v>500</v>
      </c>
      <c r="C103" s="62">
        <v>0</v>
      </c>
      <c r="D103" s="62">
        <v>0</v>
      </c>
      <c r="E103" s="62">
        <v>0</v>
      </c>
      <c r="F103" s="62">
        <v>0</v>
      </c>
      <c r="G103" s="62">
        <v>0</v>
      </c>
      <c r="H103" s="62">
        <v>0</v>
      </c>
      <c r="I103" s="62">
        <v>0</v>
      </c>
      <c r="J103" s="62">
        <v>0</v>
      </c>
      <c r="K103" s="62">
        <v>0</v>
      </c>
      <c r="L103" s="62">
        <v>0</v>
      </c>
      <c r="M103" s="62">
        <v>0</v>
      </c>
      <c r="N103" s="62">
        <v>0</v>
      </c>
      <c r="O103" s="62">
        <v>0</v>
      </c>
      <c r="P103" s="62">
        <v>0</v>
      </c>
      <c r="Q103" s="62">
        <v>0</v>
      </c>
      <c r="R103" s="62">
        <v>0</v>
      </c>
      <c r="S103" s="62">
        <v>0</v>
      </c>
      <c r="T103" s="62">
        <v>0</v>
      </c>
      <c r="U103" s="62">
        <v>0</v>
      </c>
      <c r="V103" s="62">
        <v>0</v>
      </c>
      <c r="W103" s="62">
        <v>0</v>
      </c>
      <c r="X103" s="62">
        <v>0</v>
      </c>
      <c r="Y103" s="62">
        <v>0</v>
      </c>
      <c r="Z103" s="62">
        <v>0</v>
      </c>
      <c r="AA103" s="62">
        <v>0</v>
      </c>
      <c r="AB103" s="62">
        <v>0</v>
      </c>
      <c r="AC103" s="62">
        <v>0</v>
      </c>
      <c r="AD103" s="62">
        <v>0</v>
      </c>
    </row>
    <row r="104" spans="1:30" x14ac:dyDescent="0.2">
      <c r="A104" s="62">
        <v>103</v>
      </c>
      <c r="B104" s="62">
        <v>500</v>
      </c>
      <c r="C104" s="62">
        <v>0</v>
      </c>
      <c r="D104" s="62">
        <v>0</v>
      </c>
      <c r="E104" s="62">
        <v>0</v>
      </c>
      <c r="F104" s="62">
        <v>0</v>
      </c>
      <c r="G104" s="62">
        <v>0</v>
      </c>
      <c r="H104" s="62">
        <v>0</v>
      </c>
      <c r="I104" s="62">
        <v>0</v>
      </c>
      <c r="J104" s="62">
        <v>0</v>
      </c>
      <c r="K104" s="62">
        <v>0</v>
      </c>
      <c r="L104" s="62">
        <v>0</v>
      </c>
      <c r="M104" s="62">
        <v>0</v>
      </c>
      <c r="N104" s="62">
        <v>0</v>
      </c>
      <c r="O104" s="62">
        <v>0</v>
      </c>
      <c r="P104" s="62">
        <v>0</v>
      </c>
      <c r="Q104" s="62">
        <v>0</v>
      </c>
      <c r="R104" s="62">
        <v>0</v>
      </c>
      <c r="S104" s="62">
        <v>0</v>
      </c>
      <c r="T104" s="62">
        <v>0</v>
      </c>
      <c r="U104" s="62">
        <v>0</v>
      </c>
      <c r="V104" s="62">
        <v>0</v>
      </c>
      <c r="W104" s="62">
        <v>0</v>
      </c>
      <c r="X104" s="62">
        <v>0</v>
      </c>
      <c r="Y104" s="62">
        <v>0</v>
      </c>
      <c r="Z104" s="62">
        <v>0</v>
      </c>
      <c r="AA104" s="62">
        <v>0</v>
      </c>
      <c r="AB104" s="62">
        <v>0</v>
      </c>
      <c r="AC104" s="62">
        <v>0</v>
      </c>
      <c r="AD104" s="62">
        <v>0</v>
      </c>
    </row>
    <row r="105" spans="1:30" x14ac:dyDescent="0.2">
      <c r="A105" s="62">
        <v>104</v>
      </c>
      <c r="B105" s="62">
        <v>500</v>
      </c>
      <c r="C105" s="62">
        <v>0</v>
      </c>
      <c r="D105" s="62">
        <v>0</v>
      </c>
      <c r="E105" s="62">
        <v>0</v>
      </c>
      <c r="F105" s="62">
        <v>0</v>
      </c>
      <c r="G105" s="62">
        <v>0</v>
      </c>
      <c r="H105" s="62">
        <v>0</v>
      </c>
      <c r="I105" s="62">
        <v>0</v>
      </c>
      <c r="J105" s="62">
        <v>0</v>
      </c>
      <c r="K105" s="62">
        <v>0</v>
      </c>
      <c r="L105" s="62">
        <v>0</v>
      </c>
      <c r="M105" s="62">
        <v>0</v>
      </c>
      <c r="N105" s="62">
        <v>0</v>
      </c>
      <c r="O105" s="62">
        <v>0</v>
      </c>
      <c r="P105" s="62">
        <v>0</v>
      </c>
      <c r="Q105" s="62">
        <v>0</v>
      </c>
      <c r="R105" s="62">
        <v>0</v>
      </c>
      <c r="S105" s="62">
        <v>0</v>
      </c>
      <c r="T105" s="62">
        <v>0</v>
      </c>
      <c r="U105" s="62">
        <v>0</v>
      </c>
      <c r="V105" s="62">
        <v>0</v>
      </c>
      <c r="W105" s="62">
        <v>0</v>
      </c>
      <c r="X105" s="62">
        <v>0</v>
      </c>
      <c r="Y105" s="62">
        <v>0</v>
      </c>
      <c r="Z105" s="62">
        <v>0</v>
      </c>
      <c r="AA105" s="62">
        <v>0</v>
      </c>
      <c r="AB105" s="62">
        <v>0</v>
      </c>
      <c r="AC105" s="62">
        <v>0</v>
      </c>
      <c r="AD105" s="62">
        <v>0</v>
      </c>
    </row>
    <row r="106" spans="1:30" x14ac:dyDescent="0.2">
      <c r="A106" s="62">
        <v>105</v>
      </c>
      <c r="B106" s="62">
        <v>500</v>
      </c>
      <c r="C106" s="62">
        <v>0</v>
      </c>
      <c r="D106" s="62">
        <v>0</v>
      </c>
      <c r="E106" s="62">
        <v>0</v>
      </c>
      <c r="F106" s="62">
        <v>0</v>
      </c>
      <c r="G106" s="62">
        <v>0</v>
      </c>
      <c r="H106" s="62">
        <v>0</v>
      </c>
      <c r="I106" s="62">
        <v>0</v>
      </c>
      <c r="J106" s="62">
        <v>0</v>
      </c>
      <c r="K106" s="62">
        <v>0</v>
      </c>
      <c r="L106" s="62">
        <v>0</v>
      </c>
      <c r="M106" s="62">
        <v>0</v>
      </c>
      <c r="N106" s="62">
        <v>0</v>
      </c>
      <c r="O106" s="62">
        <v>0</v>
      </c>
      <c r="P106" s="62">
        <v>0</v>
      </c>
      <c r="Q106" s="62">
        <v>0</v>
      </c>
      <c r="R106" s="62">
        <v>0</v>
      </c>
      <c r="S106" s="62">
        <v>0</v>
      </c>
      <c r="T106" s="62">
        <v>0</v>
      </c>
      <c r="U106" s="62">
        <v>0</v>
      </c>
      <c r="V106" s="62">
        <v>0</v>
      </c>
      <c r="W106" s="62">
        <v>0</v>
      </c>
      <c r="X106" s="62">
        <v>0</v>
      </c>
      <c r="Y106" s="62">
        <v>0</v>
      </c>
      <c r="Z106" s="62">
        <v>0</v>
      </c>
      <c r="AA106" s="62">
        <v>0</v>
      </c>
      <c r="AB106" s="62">
        <v>0</v>
      </c>
      <c r="AC106" s="62">
        <v>0</v>
      </c>
      <c r="AD106" s="62">
        <v>0</v>
      </c>
    </row>
    <row r="107" spans="1:30" x14ac:dyDescent="0.2">
      <c r="A107" s="62">
        <v>106</v>
      </c>
      <c r="B107" s="62">
        <v>500</v>
      </c>
      <c r="C107" s="62">
        <v>0</v>
      </c>
      <c r="D107" s="62">
        <v>0</v>
      </c>
      <c r="E107" s="62">
        <v>0</v>
      </c>
      <c r="F107" s="62">
        <v>0</v>
      </c>
      <c r="G107" s="62">
        <v>0</v>
      </c>
      <c r="H107" s="62">
        <v>0</v>
      </c>
      <c r="I107" s="62">
        <v>0</v>
      </c>
      <c r="J107" s="62">
        <v>0</v>
      </c>
      <c r="K107" s="62">
        <v>0</v>
      </c>
      <c r="L107" s="62">
        <v>0</v>
      </c>
      <c r="M107" s="62">
        <v>0</v>
      </c>
      <c r="N107" s="62">
        <v>0</v>
      </c>
      <c r="O107" s="62">
        <v>0</v>
      </c>
      <c r="P107" s="62">
        <v>0</v>
      </c>
      <c r="Q107" s="62">
        <v>0</v>
      </c>
      <c r="R107" s="62">
        <v>0</v>
      </c>
      <c r="S107" s="62">
        <v>0</v>
      </c>
      <c r="T107" s="62">
        <v>0</v>
      </c>
      <c r="U107" s="62">
        <v>0</v>
      </c>
      <c r="V107" s="62">
        <v>0</v>
      </c>
      <c r="W107" s="62">
        <v>0</v>
      </c>
      <c r="X107" s="62">
        <v>0</v>
      </c>
      <c r="Y107" s="62">
        <v>0</v>
      </c>
      <c r="Z107" s="62">
        <v>0</v>
      </c>
      <c r="AA107" s="62">
        <v>0</v>
      </c>
      <c r="AB107" s="62">
        <v>0</v>
      </c>
      <c r="AC107" s="62">
        <v>0</v>
      </c>
      <c r="AD107" s="62">
        <v>0</v>
      </c>
    </row>
    <row r="108" spans="1:30" x14ac:dyDescent="0.2">
      <c r="A108" s="62">
        <v>107</v>
      </c>
      <c r="B108" s="62">
        <v>500</v>
      </c>
      <c r="C108" s="62">
        <v>0</v>
      </c>
      <c r="D108" s="62">
        <v>0</v>
      </c>
      <c r="E108" s="62">
        <v>0</v>
      </c>
      <c r="F108" s="62">
        <v>0</v>
      </c>
      <c r="G108" s="62">
        <v>0</v>
      </c>
      <c r="H108" s="62">
        <v>0</v>
      </c>
      <c r="I108" s="62">
        <v>0</v>
      </c>
      <c r="J108" s="62">
        <v>0</v>
      </c>
      <c r="K108" s="62">
        <v>0</v>
      </c>
      <c r="L108" s="62">
        <v>0</v>
      </c>
      <c r="M108" s="62">
        <v>0</v>
      </c>
      <c r="N108" s="62">
        <v>0</v>
      </c>
      <c r="O108" s="62">
        <v>0</v>
      </c>
      <c r="P108" s="62">
        <v>0</v>
      </c>
      <c r="Q108" s="62">
        <v>0</v>
      </c>
      <c r="R108" s="62">
        <v>0</v>
      </c>
      <c r="S108" s="62">
        <v>0</v>
      </c>
      <c r="T108" s="62">
        <v>0</v>
      </c>
      <c r="U108" s="62">
        <v>0</v>
      </c>
      <c r="V108" s="62">
        <v>0</v>
      </c>
      <c r="W108" s="62">
        <v>0</v>
      </c>
      <c r="X108" s="62">
        <v>0</v>
      </c>
      <c r="Y108" s="62">
        <v>0</v>
      </c>
      <c r="Z108" s="62">
        <v>0</v>
      </c>
      <c r="AA108" s="62">
        <v>0</v>
      </c>
      <c r="AB108" s="62">
        <v>0</v>
      </c>
      <c r="AC108" s="62">
        <v>0</v>
      </c>
      <c r="AD108" s="62">
        <v>0</v>
      </c>
    </row>
    <row r="109" spans="1:30" x14ac:dyDescent="0.2">
      <c r="A109" s="62">
        <v>108</v>
      </c>
      <c r="B109" s="62">
        <v>500</v>
      </c>
      <c r="C109" s="62">
        <v>56.118000000000002</v>
      </c>
      <c r="D109" s="62">
        <v>58.25</v>
      </c>
      <c r="E109" s="62">
        <v>59.988999999999997</v>
      </c>
      <c r="F109" s="62">
        <v>61.47</v>
      </c>
      <c r="G109" s="62">
        <v>61.655999999999999</v>
      </c>
      <c r="H109" s="62">
        <v>65.656999999999996</v>
      </c>
      <c r="I109" s="62">
        <v>65.399000000000001</v>
      </c>
      <c r="J109" s="62">
        <v>74.403999999999996</v>
      </c>
      <c r="K109" s="62">
        <v>77.320999999999998</v>
      </c>
      <c r="L109" s="62">
        <v>81.828999999999994</v>
      </c>
      <c r="M109" s="62">
        <v>92.313999999999993</v>
      </c>
      <c r="N109" s="62">
        <v>79.399000000000001</v>
      </c>
      <c r="O109" s="62">
        <v>102.70399999999999</v>
      </c>
      <c r="P109" s="62">
        <v>106.123</v>
      </c>
      <c r="Q109" s="62">
        <v>110.15600000000001</v>
      </c>
      <c r="R109" s="62">
        <v>102.42700000000001</v>
      </c>
      <c r="S109" s="62">
        <v>90.43</v>
      </c>
      <c r="T109" s="62">
        <v>78.796000000000006</v>
      </c>
      <c r="U109" s="62">
        <v>70.444000000000003</v>
      </c>
      <c r="V109" s="62">
        <v>64.212999999999994</v>
      </c>
      <c r="W109" s="62">
        <v>56.84</v>
      </c>
      <c r="X109" s="62">
        <v>63.728000000000002</v>
      </c>
      <c r="Y109" s="62">
        <v>79.376999999999995</v>
      </c>
      <c r="Z109" s="62">
        <v>77.036000000000001</v>
      </c>
      <c r="AA109" s="62">
        <v>78.947000000000003</v>
      </c>
      <c r="AB109" s="62">
        <v>70.47</v>
      </c>
      <c r="AC109" s="62">
        <v>75.471999999999994</v>
      </c>
      <c r="AD109" s="62">
        <v>72.212999999999994</v>
      </c>
    </row>
    <row r="110" spans="1:30" x14ac:dyDescent="0.2">
      <c r="A110" s="62">
        <v>109</v>
      </c>
      <c r="B110" s="62">
        <v>500</v>
      </c>
      <c r="C110" s="62">
        <v>123.398</v>
      </c>
      <c r="D110" s="62">
        <v>127.184</v>
      </c>
      <c r="E110" s="62">
        <v>130.41399999999999</v>
      </c>
      <c r="F110" s="62">
        <v>133.86500000000001</v>
      </c>
      <c r="G110" s="62">
        <v>137.02500000000001</v>
      </c>
      <c r="H110" s="62">
        <v>148.934</v>
      </c>
      <c r="I110" s="62">
        <v>152.346</v>
      </c>
      <c r="J110" s="62">
        <v>176.78200000000001</v>
      </c>
      <c r="K110" s="62">
        <v>187.489</v>
      </c>
      <c r="L110" s="62">
        <v>197.542</v>
      </c>
      <c r="M110" s="62">
        <v>223.447</v>
      </c>
      <c r="N110" s="62">
        <v>187.113</v>
      </c>
      <c r="O110" s="62">
        <v>242.21899999999999</v>
      </c>
      <c r="P110" s="62">
        <v>254.227</v>
      </c>
      <c r="Q110" s="62">
        <v>265.93599999999998</v>
      </c>
      <c r="R110" s="62">
        <v>246.74199999999999</v>
      </c>
      <c r="S110" s="62">
        <v>222.66</v>
      </c>
      <c r="T110" s="62">
        <v>194.49700000000001</v>
      </c>
      <c r="U110" s="62">
        <v>179.821</v>
      </c>
      <c r="V110" s="62">
        <v>164.38900000000001</v>
      </c>
      <c r="W110" s="62">
        <v>147.77000000000001</v>
      </c>
      <c r="X110" s="62">
        <v>166.51499999999999</v>
      </c>
      <c r="Y110" s="62">
        <v>208.34100000000001</v>
      </c>
      <c r="Z110" s="62">
        <v>438.86500000000001</v>
      </c>
      <c r="AA110" s="62">
        <v>569.99800000000005</v>
      </c>
      <c r="AB110" s="62">
        <v>550.87900000000002</v>
      </c>
      <c r="AC110" s="62">
        <v>595.14</v>
      </c>
      <c r="AD110" s="62">
        <v>563.71299999999997</v>
      </c>
    </row>
    <row r="111" spans="1:30" x14ac:dyDescent="0.2">
      <c r="A111" s="62">
        <v>110</v>
      </c>
      <c r="B111" s="62">
        <v>500</v>
      </c>
      <c r="C111" s="62">
        <v>9.7370000000000001</v>
      </c>
      <c r="D111" s="62">
        <v>9.5220000000000002</v>
      </c>
      <c r="E111" s="62">
        <v>11.749000000000001</v>
      </c>
      <c r="F111" s="62">
        <v>14.528</v>
      </c>
      <c r="G111" s="62">
        <v>16.739999999999998</v>
      </c>
      <c r="H111" s="62">
        <v>19.594000000000001</v>
      </c>
      <c r="I111" s="62">
        <v>21.844999999999999</v>
      </c>
      <c r="J111" s="62">
        <v>24.710999999999999</v>
      </c>
      <c r="K111" s="62">
        <v>26.844000000000001</v>
      </c>
      <c r="L111" s="62">
        <v>29.657</v>
      </c>
      <c r="M111" s="62">
        <v>31.896000000000001</v>
      </c>
      <c r="N111" s="62">
        <v>34.676000000000002</v>
      </c>
      <c r="O111" s="62">
        <v>36.896999999999998</v>
      </c>
      <c r="P111" s="62">
        <v>40.491</v>
      </c>
      <c r="Q111" s="62">
        <v>44.298000000000002</v>
      </c>
      <c r="R111" s="62">
        <v>47.792000000000002</v>
      </c>
      <c r="S111" s="62">
        <v>51.383000000000003</v>
      </c>
      <c r="T111" s="62">
        <v>54.991999999999997</v>
      </c>
      <c r="U111" s="62">
        <v>58.744999999999997</v>
      </c>
      <c r="V111" s="62">
        <v>62.307000000000002</v>
      </c>
      <c r="W111" s="62">
        <v>65.8</v>
      </c>
      <c r="X111" s="62">
        <v>68.936000000000007</v>
      </c>
      <c r="Y111" s="62">
        <v>74.861000000000004</v>
      </c>
      <c r="Z111" s="62">
        <v>71.852999999999994</v>
      </c>
      <c r="AA111" s="62">
        <v>69.659000000000006</v>
      </c>
      <c r="AB111" s="62">
        <v>70.835999999999999</v>
      </c>
      <c r="AC111" s="62">
        <v>72.108999999999995</v>
      </c>
      <c r="AD111" s="62">
        <v>72.507999999999996</v>
      </c>
    </row>
    <row r="112" spans="1:30" x14ac:dyDescent="0.2">
      <c r="A112" s="62">
        <v>111</v>
      </c>
      <c r="B112" s="62">
        <v>500</v>
      </c>
      <c r="C112" s="62">
        <v>607.93200000000002</v>
      </c>
      <c r="D112" s="62">
        <v>649.053</v>
      </c>
      <c r="E112" s="62">
        <v>650.15200000000004</v>
      </c>
      <c r="F112" s="62">
        <v>657.15800000000002</v>
      </c>
      <c r="G112" s="62">
        <v>660.79</v>
      </c>
      <c r="H112" s="62">
        <v>661.69200000000001</v>
      </c>
      <c r="I112" s="62">
        <v>667.94200000000001</v>
      </c>
      <c r="J112" s="62">
        <v>685.45899999999995</v>
      </c>
      <c r="K112" s="62">
        <v>709.92700000000002</v>
      </c>
      <c r="L112" s="62">
        <v>733.548</v>
      </c>
      <c r="M112" s="62">
        <v>763.33699999999999</v>
      </c>
      <c r="N112" s="62">
        <v>798.697</v>
      </c>
      <c r="O112" s="62">
        <v>831.90300000000002</v>
      </c>
      <c r="P112" s="62">
        <v>891.28800000000001</v>
      </c>
      <c r="Q112" s="62">
        <v>899.197</v>
      </c>
      <c r="R112" s="62">
        <v>911.85900000000004</v>
      </c>
      <c r="S112" s="62">
        <v>896.25099999999998</v>
      </c>
      <c r="T112" s="62">
        <v>850.678</v>
      </c>
      <c r="U112" s="62">
        <v>878.48900000000003</v>
      </c>
      <c r="V112" s="62">
        <v>907.495</v>
      </c>
      <c r="W112" s="62">
        <v>871.91200000000003</v>
      </c>
      <c r="X112" s="62">
        <v>804.96100000000001</v>
      </c>
      <c r="Y112" s="62">
        <v>761.04899999999998</v>
      </c>
      <c r="Z112" s="62">
        <v>653.64700000000005</v>
      </c>
      <c r="AA112" s="62">
        <v>615.68299999999999</v>
      </c>
      <c r="AB112" s="62">
        <v>529.59299999999996</v>
      </c>
      <c r="AC112" s="62">
        <v>633.79</v>
      </c>
      <c r="AD112" s="62">
        <v>562.10400000000004</v>
      </c>
    </row>
    <row r="113" spans="1:30" x14ac:dyDescent="0.2">
      <c r="A113" s="62">
        <v>112</v>
      </c>
      <c r="B113" s="62">
        <v>500</v>
      </c>
      <c r="C113" s="62">
        <v>303.95499999999998</v>
      </c>
      <c r="D113" s="62">
        <v>326.60399999999998</v>
      </c>
      <c r="E113" s="62">
        <v>327.17399999999998</v>
      </c>
      <c r="F113" s="62">
        <v>332.33600000000001</v>
      </c>
      <c r="G113" s="62">
        <v>328.83499999999998</v>
      </c>
      <c r="H113" s="62">
        <v>335.267</v>
      </c>
      <c r="I113" s="62">
        <v>343.23700000000002</v>
      </c>
      <c r="J113" s="62">
        <v>345.49799999999999</v>
      </c>
      <c r="K113" s="62">
        <v>362.52699999999999</v>
      </c>
      <c r="L113" s="62">
        <v>382.173</v>
      </c>
      <c r="M113" s="62">
        <v>408.63799999999998</v>
      </c>
      <c r="N113" s="62">
        <v>440.72399999999999</v>
      </c>
      <c r="O113" s="62">
        <v>460.32299999999998</v>
      </c>
      <c r="P113" s="62">
        <v>521.34900000000005</v>
      </c>
      <c r="Q113" s="62">
        <v>536.36199999999997</v>
      </c>
      <c r="R113" s="62">
        <v>541.947</v>
      </c>
      <c r="S113" s="62">
        <v>532.91399999999999</v>
      </c>
      <c r="T113" s="62">
        <v>514.44399999999996</v>
      </c>
      <c r="U113" s="62">
        <v>511.24099999999999</v>
      </c>
      <c r="V113" s="62">
        <v>531.48900000000003</v>
      </c>
      <c r="W113" s="62">
        <v>513.10500000000002</v>
      </c>
      <c r="X113" s="62">
        <v>479.63400000000001</v>
      </c>
      <c r="Y113" s="62">
        <v>451.49700000000001</v>
      </c>
      <c r="Z113" s="62">
        <v>400.012</v>
      </c>
      <c r="AA113" s="62">
        <v>387.34399999999999</v>
      </c>
      <c r="AB113" s="62">
        <v>345.02499999999998</v>
      </c>
      <c r="AC113" s="62">
        <v>408.40199999999999</v>
      </c>
      <c r="AD113" s="62">
        <v>370.80500000000001</v>
      </c>
    </row>
    <row r="114" spans="1:30" x14ac:dyDescent="0.2">
      <c r="A114" s="62">
        <v>113</v>
      </c>
      <c r="B114" s="62">
        <v>500</v>
      </c>
      <c r="C114" s="62">
        <v>41.124000000000002</v>
      </c>
      <c r="D114" s="62">
        <v>43.930999999999997</v>
      </c>
      <c r="E114" s="62">
        <v>44.744999999999997</v>
      </c>
      <c r="F114" s="62">
        <v>47.021000000000001</v>
      </c>
      <c r="G114" s="62">
        <v>47.149000000000001</v>
      </c>
      <c r="H114" s="62">
        <v>48.030999999999999</v>
      </c>
      <c r="I114" s="62">
        <v>48.89</v>
      </c>
      <c r="J114" s="62">
        <v>48.978999999999999</v>
      </c>
      <c r="K114" s="62">
        <v>50.671999999999997</v>
      </c>
      <c r="L114" s="62">
        <v>53.843000000000004</v>
      </c>
      <c r="M114" s="62">
        <v>57.869</v>
      </c>
      <c r="N114" s="62">
        <v>62.121000000000002</v>
      </c>
      <c r="O114" s="62">
        <v>65.527000000000001</v>
      </c>
      <c r="P114" s="62">
        <v>72.626999999999995</v>
      </c>
      <c r="Q114" s="62">
        <v>72.891000000000005</v>
      </c>
      <c r="R114" s="62">
        <v>73.944000000000003</v>
      </c>
      <c r="S114" s="62">
        <v>73.382000000000005</v>
      </c>
      <c r="T114" s="62">
        <v>71.203000000000003</v>
      </c>
      <c r="U114" s="62">
        <v>71.936999999999998</v>
      </c>
      <c r="V114" s="62">
        <v>75.180000000000007</v>
      </c>
      <c r="W114" s="62">
        <v>77.846000000000004</v>
      </c>
      <c r="X114" s="62">
        <v>80.082999999999998</v>
      </c>
      <c r="Y114" s="62">
        <v>85.950999999999993</v>
      </c>
      <c r="Z114" s="62">
        <v>85.328000000000003</v>
      </c>
      <c r="AA114" s="62">
        <v>95.668999999999997</v>
      </c>
      <c r="AB114" s="62">
        <v>84.075000000000003</v>
      </c>
      <c r="AC114" s="62">
        <v>98.721000000000004</v>
      </c>
      <c r="AD114" s="62">
        <v>88.856999999999999</v>
      </c>
    </row>
    <row r="115" spans="1:30" x14ac:dyDescent="0.2">
      <c r="A115" s="62">
        <v>114</v>
      </c>
      <c r="B115" s="62">
        <v>500</v>
      </c>
      <c r="C115" s="62">
        <v>11.244999999999999</v>
      </c>
      <c r="D115" s="62">
        <v>11.997999999999999</v>
      </c>
      <c r="E115" s="62">
        <v>11.692</v>
      </c>
      <c r="F115" s="62">
        <v>11.859</v>
      </c>
      <c r="G115" s="62">
        <v>11.978999999999999</v>
      </c>
      <c r="H115" s="62">
        <v>12.172000000000001</v>
      </c>
      <c r="I115" s="62">
        <v>12.316000000000001</v>
      </c>
      <c r="J115" s="62">
        <v>12.335000000000001</v>
      </c>
      <c r="K115" s="62">
        <v>12.47</v>
      </c>
      <c r="L115" s="62">
        <v>12.935</v>
      </c>
      <c r="M115" s="62">
        <v>13.772</v>
      </c>
      <c r="N115" s="62">
        <v>14.968</v>
      </c>
      <c r="O115" s="62">
        <v>16.204000000000001</v>
      </c>
      <c r="P115" s="62">
        <v>19.329999999999998</v>
      </c>
      <c r="Q115" s="62">
        <v>20.238</v>
      </c>
      <c r="R115" s="62">
        <v>20.492000000000001</v>
      </c>
      <c r="S115" s="62">
        <v>19.468</v>
      </c>
      <c r="T115" s="62">
        <v>17.808</v>
      </c>
      <c r="U115" s="62">
        <v>17.818000000000001</v>
      </c>
      <c r="V115" s="62">
        <v>19.042999999999999</v>
      </c>
      <c r="W115" s="62">
        <v>20.393999999999998</v>
      </c>
      <c r="X115" s="62">
        <v>21.245000000000001</v>
      </c>
      <c r="Y115" s="62">
        <v>22.082999999999998</v>
      </c>
      <c r="Z115" s="62">
        <v>21.140999999999998</v>
      </c>
      <c r="AA115" s="62">
        <v>22.585000000000001</v>
      </c>
      <c r="AB115" s="62">
        <v>20.013000000000002</v>
      </c>
      <c r="AC115" s="62">
        <v>24.312999999999999</v>
      </c>
      <c r="AD115" s="62">
        <v>22.244</v>
      </c>
    </row>
    <row r="116" spans="1:30" x14ac:dyDescent="0.2">
      <c r="A116" s="62">
        <v>115</v>
      </c>
      <c r="B116" s="62">
        <v>500</v>
      </c>
      <c r="C116" s="62">
        <v>185.602</v>
      </c>
      <c r="D116" s="62">
        <v>199.88800000000001</v>
      </c>
      <c r="E116" s="62">
        <v>199.59800000000001</v>
      </c>
      <c r="F116" s="62">
        <v>207.655</v>
      </c>
      <c r="G116" s="62">
        <v>208.06800000000001</v>
      </c>
      <c r="H116" s="62">
        <v>212.29599999999999</v>
      </c>
      <c r="I116" s="62">
        <v>217.65199999999999</v>
      </c>
      <c r="J116" s="62">
        <v>217.65600000000001</v>
      </c>
      <c r="K116" s="62">
        <v>228.452</v>
      </c>
      <c r="L116" s="62">
        <v>240.28899999999999</v>
      </c>
      <c r="M116" s="62">
        <v>253.38200000000001</v>
      </c>
      <c r="N116" s="62">
        <v>267.64800000000002</v>
      </c>
      <c r="O116" s="62">
        <v>273.73</v>
      </c>
      <c r="P116" s="62">
        <v>298.49</v>
      </c>
      <c r="Q116" s="62">
        <v>292.69299999999998</v>
      </c>
      <c r="R116" s="62">
        <v>292.39699999999999</v>
      </c>
      <c r="S116" s="62">
        <v>287.52600000000001</v>
      </c>
      <c r="T116" s="62">
        <v>277.43799999999999</v>
      </c>
      <c r="U116" s="62">
        <v>274.05200000000002</v>
      </c>
      <c r="V116" s="62">
        <v>283.21699999999998</v>
      </c>
      <c r="W116" s="62">
        <v>269.685</v>
      </c>
      <c r="X116" s="62">
        <v>254.96299999999999</v>
      </c>
      <c r="Y116" s="62">
        <v>241.268</v>
      </c>
      <c r="Z116" s="62">
        <v>216.3</v>
      </c>
      <c r="AA116" s="62">
        <v>213.45</v>
      </c>
      <c r="AB116" s="62">
        <v>189.55799999999999</v>
      </c>
      <c r="AC116" s="62">
        <v>229.30600000000001</v>
      </c>
      <c r="AD116" s="62">
        <v>207.804</v>
      </c>
    </row>
    <row r="117" spans="1:30" x14ac:dyDescent="0.2">
      <c r="A117" s="62">
        <v>116</v>
      </c>
      <c r="B117" s="62">
        <v>500</v>
      </c>
      <c r="C117" s="62">
        <v>42.954000000000001</v>
      </c>
      <c r="D117" s="62">
        <v>48.125</v>
      </c>
      <c r="E117" s="62">
        <v>50.137</v>
      </c>
      <c r="F117" s="62">
        <v>53.866999999999997</v>
      </c>
      <c r="G117" s="62">
        <v>56.264000000000003</v>
      </c>
      <c r="H117" s="62">
        <v>59.78</v>
      </c>
      <c r="I117" s="62">
        <v>63.539000000000001</v>
      </c>
      <c r="J117" s="62">
        <v>65.555999999999997</v>
      </c>
      <c r="K117" s="62">
        <v>71.811000000000007</v>
      </c>
      <c r="L117" s="62">
        <v>79.292000000000002</v>
      </c>
      <c r="M117" s="62">
        <v>86.322999999999993</v>
      </c>
      <c r="N117" s="62">
        <v>97.167000000000002</v>
      </c>
      <c r="O117" s="62">
        <v>104.77</v>
      </c>
      <c r="P117" s="62">
        <v>117.89400000000001</v>
      </c>
      <c r="Q117" s="62">
        <v>121.696</v>
      </c>
      <c r="R117" s="62">
        <v>128.61699999999999</v>
      </c>
      <c r="S117" s="62">
        <v>132.488</v>
      </c>
      <c r="T117" s="62">
        <v>129.61600000000001</v>
      </c>
      <c r="U117" s="62">
        <v>131.36799999999999</v>
      </c>
      <c r="V117" s="62">
        <v>142.93899999999999</v>
      </c>
      <c r="W117" s="62">
        <v>139.04</v>
      </c>
      <c r="X117" s="62">
        <v>131.05500000000001</v>
      </c>
      <c r="Y117" s="62">
        <v>120.962</v>
      </c>
      <c r="Z117" s="62">
        <v>99.611000000000004</v>
      </c>
      <c r="AA117" s="62">
        <v>83.037000000000006</v>
      </c>
      <c r="AB117" s="62">
        <v>76.557000000000002</v>
      </c>
      <c r="AC117" s="62">
        <v>97.177999999999997</v>
      </c>
      <c r="AD117" s="62">
        <v>91.429000000000002</v>
      </c>
    </row>
    <row r="118" spans="1:30" x14ac:dyDescent="0.2">
      <c r="A118" s="62">
        <v>117</v>
      </c>
      <c r="B118" s="62">
        <v>500</v>
      </c>
      <c r="C118" s="62">
        <v>61.216999999999999</v>
      </c>
      <c r="D118" s="62">
        <v>68.094999999999999</v>
      </c>
      <c r="E118" s="62">
        <v>69.150999999999996</v>
      </c>
      <c r="F118" s="62">
        <v>71.825000000000003</v>
      </c>
      <c r="G118" s="62">
        <v>72.495000000000005</v>
      </c>
      <c r="H118" s="62">
        <v>74.582999999999998</v>
      </c>
      <c r="I118" s="62">
        <v>79.224999999999994</v>
      </c>
      <c r="J118" s="62">
        <v>81.953000000000003</v>
      </c>
      <c r="K118" s="62">
        <v>89.188000000000002</v>
      </c>
      <c r="L118" s="62">
        <v>96.177000000000007</v>
      </c>
      <c r="M118" s="62">
        <v>105.496</v>
      </c>
      <c r="N118" s="62">
        <v>118.92</v>
      </c>
      <c r="O118" s="62">
        <v>127.43600000000001</v>
      </c>
      <c r="P118" s="62">
        <v>149.52699999999999</v>
      </c>
      <c r="Q118" s="62">
        <v>154.14599999999999</v>
      </c>
      <c r="R118" s="62">
        <v>160.25899999999999</v>
      </c>
      <c r="S118" s="62">
        <v>166.20599999999999</v>
      </c>
      <c r="T118" s="62">
        <v>169.226</v>
      </c>
      <c r="U118" s="62">
        <v>173.78299999999999</v>
      </c>
      <c r="V118" s="62">
        <v>188.24799999999999</v>
      </c>
      <c r="W118" s="62">
        <v>185.006</v>
      </c>
      <c r="X118" s="62">
        <v>174.54599999999999</v>
      </c>
      <c r="Y118" s="62">
        <v>163.75299999999999</v>
      </c>
      <c r="Z118" s="62">
        <v>148.27099999999999</v>
      </c>
      <c r="AA118" s="62">
        <v>146.46700000000001</v>
      </c>
      <c r="AB118" s="62">
        <v>133.58000000000001</v>
      </c>
      <c r="AC118" s="62">
        <v>156.25299999999999</v>
      </c>
      <c r="AD118" s="62">
        <v>144.559</v>
      </c>
    </row>
    <row r="119" spans="1:30" x14ac:dyDescent="0.2">
      <c r="A119" s="62">
        <v>118</v>
      </c>
      <c r="B119" s="62">
        <v>500</v>
      </c>
      <c r="C119" s="62">
        <v>86.983000000000004</v>
      </c>
      <c r="D119" s="62">
        <v>93.908000000000001</v>
      </c>
      <c r="E119" s="62">
        <v>95.813999999999993</v>
      </c>
      <c r="F119" s="62">
        <v>99.424000000000007</v>
      </c>
      <c r="G119" s="62">
        <v>101.93600000000001</v>
      </c>
      <c r="H119" s="62">
        <v>102.70399999999999</v>
      </c>
      <c r="I119" s="62">
        <v>104.06100000000001</v>
      </c>
      <c r="J119" s="62">
        <v>105.47</v>
      </c>
      <c r="K119" s="62">
        <v>109.41800000000001</v>
      </c>
      <c r="L119" s="62">
        <v>114.25700000000001</v>
      </c>
      <c r="M119" s="62">
        <v>121.176</v>
      </c>
      <c r="N119" s="62">
        <v>127.867</v>
      </c>
      <c r="O119" s="62">
        <v>133.76499999999999</v>
      </c>
      <c r="P119" s="62">
        <v>145.82599999999999</v>
      </c>
      <c r="Q119" s="62">
        <v>148.999</v>
      </c>
      <c r="R119" s="62">
        <v>153.69499999999999</v>
      </c>
      <c r="S119" s="62">
        <v>148.178</v>
      </c>
      <c r="T119" s="62">
        <v>144.191</v>
      </c>
      <c r="U119" s="62">
        <v>153.589</v>
      </c>
      <c r="V119" s="62">
        <v>163.61799999999999</v>
      </c>
      <c r="W119" s="62">
        <v>188.96600000000001</v>
      </c>
      <c r="X119" s="62">
        <v>200.60499999999999</v>
      </c>
      <c r="Y119" s="62">
        <v>219.74600000000001</v>
      </c>
      <c r="Z119" s="62">
        <v>218.49700000000001</v>
      </c>
      <c r="AA119" s="62">
        <v>256.41300000000001</v>
      </c>
      <c r="AB119" s="62">
        <v>229.81299999999999</v>
      </c>
      <c r="AC119" s="62">
        <v>296.86599999999999</v>
      </c>
      <c r="AD119" s="62">
        <v>272.86500000000001</v>
      </c>
    </row>
    <row r="120" spans="1:30" x14ac:dyDescent="0.2">
      <c r="A120" s="62">
        <v>119</v>
      </c>
      <c r="B120" s="62">
        <v>500</v>
      </c>
      <c r="C120" s="62">
        <v>39.610999999999997</v>
      </c>
      <c r="D120" s="62">
        <v>42</v>
      </c>
      <c r="E120" s="62">
        <v>41.856000000000002</v>
      </c>
      <c r="F120" s="62">
        <v>43.008000000000003</v>
      </c>
      <c r="G120" s="62">
        <v>42.779000000000003</v>
      </c>
      <c r="H120" s="62">
        <v>42.94</v>
      </c>
      <c r="I120" s="62">
        <v>43.383000000000003</v>
      </c>
      <c r="J120" s="62">
        <v>43.926000000000002</v>
      </c>
      <c r="K120" s="62">
        <v>45.453000000000003</v>
      </c>
      <c r="L120" s="62">
        <v>47.865000000000002</v>
      </c>
      <c r="M120" s="62">
        <v>50.536999999999999</v>
      </c>
      <c r="N120" s="62">
        <v>54.113999999999997</v>
      </c>
      <c r="O120" s="62">
        <v>56.027000000000001</v>
      </c>
      <c r="P120" s="62">
        <v>61.173999999999999</v>
      </c>
      <c r="Q120" s="62">
        <v>61.982999999999997</v>
      </c>
      <c r="R120" s="62">
        <v>63.085000000000001</v>
      </c>
      <c r="S120" s="62">
        <v>61.890999999999998</v>
      </c>
      <c r="T120" s="62">
        <v>62.552</v>
      </c>
      <c r="U120" s="62">
        <v>65.213999999999999</v>
      </c>
      <c r="V120" s="62">
        <v>67.655000000000001</v>
      </c>
      <c r="W120" s="62">
        <v>63.826999999999998</v>
      </c>
      <c r="X120" s="62">
        <v>56.499000000000002</v>
      </c>
      <c r="Y120" s="62">
        <v>53.850999999999999</v>
      </c>
      <c r="Z120" s="62">
        <v>45.526000000000003</v>
      </c>
      <c r="AA120" s="62">
        <v>42.271999999999998</v>
      </c>
      <c r="AB120" s="62">
        <v>37.283000000000001</v>
      </c>
      <c r="AC120" s="62">
        <v>41.801000000000002</v>
      </c>
      <c r="AD120" s="62">
        <v>37.783999999999999</v>
      </c>
    </row>
    <row r="121" spans="1:30" x14ac:dyDescent="0.2">
      <c r="A121" s="62">
        <v>120</v>
      </c>
      <c r="B121" s="62">
        <v>500</v>
      </c>
      <c r="C121" s="62">
        <v>277.952</v>
      </c>
      <c r="D121" s="62">
        <v>293.81299999999999</v>
      </c>
      <c r="E121" s="62">
        <v>298.78699999999998</v>
      </c>
      <c r="F121" s="62">
        <v>310.33699999999999</v>
      </c>
      <c r="G121" s="62">
        <v>316.01100000000002</v>
      </c>
      <c r="H121" s="62">
        <v>326.89299999999997</v>
      </c>
      <c r="I121" s="62">
        <v>332.42599999999999</v>
      </c>
      <c r="J121" s="62">
        <v>341.79700000000003</v>
      </c>
      <c r="K121" s="62">
        <v>359.339</v>
      </c>
      <c r="L121" s="62">
        <v>392.80200000000002</v>
      </c>
      <c r="M121" s="62">
        <v>428.74</v>
      </c>
      <c r="N121" s="62">
        <v>454.55700000000002</v>
      </c>
      <c r="O121" s="62">
        <v>482.96100000000001</v>
      </c>
      <c r="P121" s="62">
        <v>539.06200000000001</v>
      </c>
      <c r="Q121" s="62">
        <v>550.51499999999999</v>
      </c>
      <c r="R121" s="62">
        <v>560.59</v>
      </c>
      <c r="S121" s="62">
        <v>562.86199999999997</v>
      </c>
      <c r="T121" s="62">
        <v>563.06399999999996</v>
      </c>
      <c r="U121" s="62">
        <v>597.19899999999996</v>
      </c>
      <c r="V121" s="62">
        <v>626.54499999999996</v>
      </c>
      <c r="W121" s="62">
        <v>627.31899999999996</v>
      </c>
      <c r="X121" s="62">
        <v>612.05799999999999</v>
      </c>
      <c r="Y121" s="62">
        <v>642.80799999999999</v>
      </c>
      <c r="Z121" s="62">
        <v>609.24199999999996</v>
      </c>
      <c r="AA121" s="62">
        <v>661.46199999999999</v>
      </c>
      <c r="AB121" s="62">
        <v>577.95399999999995</v>
      </c>
      <c r="AC121" s="62">
        <v>675.43899999999996</v>
      </c>
      <c r="AD121" s="62">
        <v>608.33000000000004</v>
      </c>
    </row>
    <row r="122" spans="1:30" x14ac:dyDescent="0.2">
      <c r="A122" s="62">
        <v>121</v>
      </c>
      <c r="B122" s="62">
        <v>500</v>
      </c>
      <c r="C122" s="62">
        <v>13.01</v>
      </c>
      <c r="D122" s="62">
        <v>13.747999999999999</v>
      </c>
      <c r="E122" s="62">
        <v>13.872999999999999</v>
      </c>
      <c r="F122" s="62">
        <v>14.484</v>
      </c>
      <c r="G122" s="62">
        <v>14.412000000000001</v>
      </c>
      <c r="H122" s="62">
        <v>14.345000000000001</v>
      </c>
      <c r="I122" s="62">
        <v>14.31</v>
      </c>
      <c r="J122" s="62">
        <v>14.382</v>
      </c>
      <c r="K122" s="62">
        <v>15.79</v>
      </c>
      <c r="L122" s="62">
        <v>16.832999999999998</v>
      </c>
      <c r="M122" s="62">
        <v>17.445</v>
      </c>
      <c r="N122" s="62">
        <v>18.102</v>
      </c>
      <c r="O122" s="62">
        <v>18.945</v>
      </c>
      <c r="P122" s="62">
        <v>20.747</v>
      </c>
      <c r="Q122" s="62">
        <v>19.619</v>
      </c>
      <c r="R122" s="62">
        <v>19.077999999999999</v>
      </c>
      <c r="S122" s="62">
        <v>18.701000000000001</v>
      </c>
      <c r="T122" s="62">
        <v>17.617000000000001</v>
      </c>
      <c r="U122" s="62">
        <v>16.945</v>
      </c>
      <c r="V122" s="62">
        <v>16.861000000000001</v>
      </c>
      <c r="W122" s="62">
        <v>16.779</v>
      </c>
      <c r="X122" s="62">
        <v>16.786000000000001</v>
      </c>
      <c r="Y122" s="62">
        <v>17.488</v>
      </c>
      <c r="Z122" s="62">
        <v>16.931000000000001</v>
      </c>
      <c r="AA122" s="62">
        <v>18.344000000000001</v>
      </c>
      <c r="AB122" s="62">
        <v>15.718</v>
      </c>
      <c r="AC122" s="62">
        <v>18.283999999999999</v>
      </c>
      <c r="AD122" s="62">
        <v>15.887</v>
      </c>
    </row>
    <row r="123" spans="1:30" x14ac:dyDescent="0.2">
      <c r="A123" s="62">
        <v>122</v>
      </c>
      <c r="B123" s="62">
        <v>500</v>
      </c>
      <c r="C123" s="62">
        <v>6.577</v>
      </c>
      <c r="D123" s="62">
        <v>7.5030000000000001</v>
      </c>
      <c r="E123" s="62">
        <v>7.7720000000000002</v>
      </c>
      <c r="F123" s="62">
        <v>7.8380000000000001</v>
      </c>
      <c r="G123" s="62">
        <v>8.1129999999999995</v>
      </c>
      <c r="H123" s="62">
        <v>8.2469999999999999</v>
      </c>
      <c r="I123" s="62">
        <v>8.5860000000000003</v>
      </c>
      <c r="J123" s="62">
        <v>8.5730000000000004</v>
      </c>
      <c r="K123" s="62">
        <v>8.6289999999999996</v>
      </c>
      <c r="L123" s="62">
        <v>8.7639999999999993</v>
      </c>
      <c r="M123" s="62">
        <v>9.6310000000000002</v>
      </c>
      <c r="N123" s="62">
        <v>10.225</v>
      </c>
      <c r="O123" s="62">
        <v>11.092000000000001</v>
      </c>
      <c r="P123" s="62">
        <v>12.423999999999999</v>
      </c>
      <c r="Q123" s="62">
        <v>12.335000000000001</v>
      </c>
      <c r="R123" s="62">
        <v>12.635</v>
      </c>
      <c r="S123" s="62">
        <v>13.052</v>
      </c>
      <c r="T123" s="62">
        <v>13.538</v>
      </c>
      <c r="U123" s="62">
        <v>13.345000000000001</v>
      </c>
      <c r="V123" s="62">
        <v>13.481</v>
      </c>
      <c r="W123" s="62">
        <v>13.897</v>
      </c>
      <c r="X123" s="62">
        <v>14.021000000000001</v>
      </c>
      <c r="Y123" s="62">
        <v>15.09</v>
      </c>
      <c r="Z123" s="62">
        <v>14.446999999999999</v>
      </c>
      <c r="AA123" s="62">
        <v>15.974</v>
      </c>
      <c r="AB123" s="62">
        <v>14.003</v>
      </c>
      <c r="AC123" s="62">
        <v>16.271000000000001</v>
      </c>
      <c r="AD123" s="62">
        <v>14.576000000000001</v>
      </c>
    </row>
    <row r="124" spans="1:30" x14ac:dyDescent="0.2">
      <c r="A124" s="62">
        <v>123</v>
      </c>
      <c r="B124" s="62">
        <v>500</v>
      </c>
      <c r="C124" s="62">
        <v>7138.8</v>
      </c>
      <c r="D124" s="62">
        <v>6939.1189999999997</v>
      </c>
      <c r="E124" s="62">
        <v>7085.9830000000002</v>
      </c>
      <c r="F124" s="62">
        <v>7147.7560000000003</v>
      </c>
      <c r="G124" s="62">
        <v>7492.8379999999997</v>
      </c>
      <c r="H124" s="62">
        <v>7621.4059999999999</v>
      </c>
      <c r="I124" s="62">
        <v>7839.6549999999997</v>
      </c>
      <c r="J124" s="62">
        <v>8238.23</v>
      </c>
      <c r="K124" s="62">
        <v>8535.4249999999993</v>
      </c>
      <c r="L124" s="62">
        <v>8614.2780000000002</v>
      </c>
      <c r="M124" s="62">
        <v>8851.3639999999996</v>
      </c>
      <c r="N124" s="62">
        <v>8966.2520000000004</v>
      </c>
      <c r="O124" s="62">
        <v>8622.2880000000005</v>
      </c>
      <c r="P124" s="62">
        <v>8698.6450000000004</v>
      </c>
      <c r="Q124" s="62">
        <v>9178.4959999999992</v>
      </c>
      <c r="R124" s="62">
        <v>8775.8369999999995</v>
      </c>
      <c r="S124" s="62">
        <v>8398.2729999999992</v>
      </c>
      <c r="T124" s="62">
        <v>8617.9410000000007</v>
      </c>
      <c r="U124" s="62">
        <v>9076.9930000000004</v>
      </c>
      <c r="V124" s="62">
        <v>8869.8029999999999</v>
      </c>
      <c r="W124" s="62">
        <v>9192.7170000000006</v>
      </c>
      <c r="X124" s="62">
        <v>9085.3829999999998</v>
      </c>
      <c r="Y124" s="62">
        <v>8519.4760000000006</v>
      </c>
      <c r="Z124" s="62">
        <v>8132.1310000000003</v>
      </c>
      <c r="AA124" s="62">
        <v>8202.4869999999992</v>
      </c>
      <c r="AB124" s="62">
        <v>8005.6469999999999</v>
      </c>
      <c r="AC124" s="62">
        <v>8025.3580000000002</v>
      </c>
      <c r="AD124" s="62">
        <v>8008.0129999999999</v>
      </c>
    </row>
    <row r="125" spans="1:30" x14ac:dyDescent="0.2">
      <c r="A125" s="62">
        <v>124</v>
      </c>
      <c r="B125" s="62">
        <v>500</v>
      </c>
      <c r="C125" s="62">
        <v>0</v>
      </c>
      <c r="D125" s="62">
        <v>0</v>
      </c>
      <c r="E125" s="62">
        <v>0</v>
      </c>
      <c r="F125" s="62">
        <v>0</v>
      </c>
      <c r="G125" s="62">
        <v>0</v>
      </c>
      <c r="H125" s="62">
        <v>0</v>
      </c>
      <c r="I125" s="62">
        <v>0</v>
      </c>
      <c r="J125" s="62">
        <v>0</v>
      </c>
      <c r="K125" s="62">
        <v>0</v>
      </c>
      <c r="L125" s="62">
        <v>0</v>
      </c>
      <c r="M125" s="62">
        <v>0</v>
      </c>
      <c r="N125" s="62">
        <v>0</v>
      </c>
      <c r="O125" s="62">
        <v>0</v>
      </c>
      <c r="P125" s="62">
        <v>0</v>
      </c>
      <c r="Q125" s="62">
        <v>0</v>
      </c>
      <c r="R125" s="62">
        <v>0</v>
      </c>
      <c r="S125" s="62">
        <v>0</v>
      </c>
      <c r="T125" s="62">
        <v>0</v>
      </c>
      <c r="U125" s="62">
        <v>0</v>
      </c>
      <c r="V125" s="62">
        <v>0</v>
      </c>
      <c r="W125" s="62">
        <v>0</v>
      </c>
      <c r="X125" s="62">
        <v>0</v>
      </c>
      <c r="Y125" s="62">
        <v>0</v>
      </c>
      <c r="Z125" s="62">
        <v>0</v>
      </c>
      <c r="AA125" s="62">
        <v>0</v>
      </c>
      <c r="AB125" s="62">
        <v>0</v>
      </c>
      <c r="AC125" s="62">
        <v>0</v>
      </c>
      <c r="AD125" s="62">
        <v>0</v>
      </c>
    </row>
    <row r="126" spans="1:30" x14ac:dyDescent="0.2">
      <c r="A126" s="62">
        <v>125</v>
      </c>
      <c r="B126" s="62">
        <v>500</v>
      </c>
      <c r="C126" s="62">
        <v>0</v>
      </c>
      <c r="D126" s="62">
        <v>0</v>
      </c>
      <c r="E126" s="62">
        <v>0</v>
      </c>
      <c r="F126" s="62">
        <v>0</v>
      </c>
      <c r="G126" s="62">
        <v>0</v>
      </c>
      <c r="H126" s="62">
        <v>0</v>
      </c>
      <c r="I126" s="62">
        <v>0</v>
      </c>
      <c r="J126" s="62">
        <v>0</v>
      </c>
      <c r="K126" s="62">
        <v>0</v>
      </c>
      <c r="L126" s="62">
        <v>0</v>
      </c>
      <c r="M126" s="62">
        <v>0</v>
      </c>
      <c r="N126" s="62">
        <v>0</v>
      </c>
      <c r="O126" s="62">
        <v>0</v>
      </c>
      <c r="P126" s="62">
        <v>0</v>
      </c>
      <c r="Q126" s="62">
        <v>0</v>
      </c>
      <c r="R126" s="62">
        <v>0</v>
      </c>
      <c r="S126" s="62">
        <v>0</v>
      </c>
      <c r="T126" s="62">
        <v>0</v>
      </c>
      <c r="U126" s="62">
        <v>0</v>
      </c>
      <c r="V126" s="62">
        <v>0</v>
      </c>
      <c r="W126" s="62">
        <v>0</v>
      </c>
      <c r="X126" s="62">
        <v>0</v>
      </c>
      <c r="Y126" s="62">
        <v>0</v>
      </c>
      <c r="Z126" s="62">
        <v>0</v>
      </c>
      <c r="AA126" s="62">
        <v>0</v>
      </c>
      <c r="AB126" s="62">
        <v>0</v>
      </c>
      <c r="AC126" s="62">
        <v>0</v>
      </c>
      <c r="AD126" s="62">
        <v>0</v>
      </c>
    </row>
    <row r="127" spans="1:30" x14ac:dyDescent="0.2">
      <c r="A127" s="62">
        <v>126</v>
      </c>
      <c r="B127" s="62">
        <v>500</v>
      </c>
      <c r="C127" s="62">
        <v>0</v>
      </c>
      <c r="D127" s="62">
        <v>0</v>
      </c>
      <c r="E127" s="62">
        <v>0</v>
      </c>
      <c r="F127" s="62">
        <v>0</v>
      </c>
      <c r="G127" s="62">
        <v>0</v>
      </c>
      <c r="H127" s="62">
        <v>0</v>
      </c>
      <c r="I127" s="62">
        <v>0</v>
      </c>
      <c r="J127" s="62">
        <v>0</v>
      </c>
      <c r="K127" s="62">
        <v>0</v>
      </c>
      <c r="L127" s="62">
        <v>0</v>
      </c>
      <c r="M127" s="62">
        <v>0</v>
      </c>
      <c r="N127" s="62">
        <v>0</v>
      </c>
      <c r="O127" s="62">
        <v>0</v>
      </c>
      <c r="P127" s="62">
        <v>0</v>
      </c>
      <c r="Q127" s="62">
        <v>0</v>
      </c>
      <c r="R127" s="62">
        <v>0</v>
      </c>
      <c r="S127" s="62">
        <v>0</v>
      </c>
      <c r="T127" s="62">
        <v>0</v>
      </c>
      <c r="U127" s="62">
        <v>0</v>
      </c>
      <c r="V127" s="62">
        <v>0</v>
      </c>
      <c r="W127" s="62">
        <v>0</v>
      </c>
      <c r="X127" s="62">
        <v>0</v>
      </c>
      <c r="Y127" s="62">
        <v>0</v>
      </c>
      <c r="Z127" s="62">
        <v>0</v>
      </c>
      <c r="AA127" s="62">
        <v>0</v>
      </c>
      <c r="AB127" s="62">
        <v>0</v>
      </c>
      <c r="AC127" s="62">
        <v>0</v>
      </c>
      <c r="AD127" s="62">
        <v>0</v>
      </c>
    </row>
    <row r="128" spans="1:30" x14ac:dyDescent="0.2">
      <c r="A128" s="62">
        <v>127</v>
      </c>
      <c r="B128" s="62">
        <v>500</v>
      </c>
      <c r="C128" s="62">
        <v>0</v>
      </c>
      <c r="D128" s="62">
        <v>0</v>
      </c>
      <c r="E128" s="62">
        <v>0</v>
      </c>
      <c r="F128" s="62">
        <v>0</v>
      </c>
      <c r="G128" s="62">
        <v>0</v>
      </c>
      <c r="H128" s="62">
        <v>0</v>
      </c>
      <c r="I128" s="62">
        <v>0</v>
      </c>
      <c r="J128" s="62">
        <v>0</v>
      </c>
      <c r="K128" s="62">
        <v>0</v>
      </c>
      <c r="L128" s="62">
        <v>0</v>
      </c>
      <c r="M128" s="62">
        <v>0</v>
      </c>
      <c r="N128" s="62">
        <v>0</v>
      </c>
      <c r="O128" s="62">
        <v>0</v>
      </c>
      <c r="P128" s="62">
        <v>0</v>
      </c>
      <c r="Q128" s="62">
        <v>0</v>
      </c>
      <c r="R128" s="62">
        <v>0</v>
      </c>
      <c r="S128" s="62">
        <v>0</v>
      </c>
      <c r="T128" s="62">
        <v>0</v>
      </c>
      <c r="U128" s="62">
        <v>0</v>
      </c>
      <c r="V128" s="62">
        <v>0</v>
      </c>
      <c r="W128" s="62">
        <v>0</v>
      </c>
      <c r="X128" s="62">
        <v>0</v>
      </c>
      <c r="Y128" s="62">
        <v>0</v>
      </c>
      <c r="Z128" s="62">
        <v>0</v>
      </c>
      <c r="AA128" s="62">
        <v>0</v>
      </c>
      <c r="AB128" s="62">
        <v>0</v>
      </c>
      <c r="AC128" s="62">
        <v>0</v>
      </c>
      <c r="AD128" s="62">
        <v>0</v>
      </c>
    </row>
    <row r="129" spans="1:30" x14ac:dyDescent="0.2">
      <c r="A129" s="62">
        <v>128</v>
      </c>
      <c r="B129" s="62">
        <v>500</v>
      </c>
      <c r="C129" s="62">
        <v>339.83800000000002</v>
      </c>
      <c r="D129" s="62">
        <v>290.964</v>
      </c>
      <c r="E129" s="62">
        <v>288.26799999999997</v>
      </c>
      <c r="F129" s="62">
        <v>326.23</v>
      </c>
      <c r="G129" s="62">
        <v>328.64699999999999</v>
      </c>
      <c r="H129" s="62">
        <v>335.67599999999999</v>
      </c>
      <c r="I129" s="62">
        <v>332.06200000000001</v>
      </c>
      <c r="J129" s="62">
        <v>368.274</v>
      </c>
      <c r="K129" s="62">
        <v>390.649</v>
      </c>
      <c r="L129" s="62">
        <v>392.81200000000001</v>
      </c>
      <c r="M129" s="62">
        <v>333.52800000000002</v>
      </c>
      <c r="N129" s="62">
        <v>323.96800000000002</v>
      </c>
      <c r="O129" s="62">
        <v>294.00700000000001</v>
      </c>
      <c r="P129" s="62">
        <v>328.68</v>
      </c>
      <c r="Q129" s="62">
        <v>309.13400000000001</v>
      </c>
      <c r="R129" s="62">
        <v>292.57</v>
      </c>
      <c r="S129" s="62">
        <v>265.59500000000003</v>
      </c>
      <c r="T129" s="62">
        <v>257.73399999999998</v>
      </c>
      <c r="U129" s="62">
        <v>248.25899999999999</v>
      </c>
      <c r="V129" s="62">
        <v>260.94799999999998</v>
      </c>
      <c r="W129" s="62">
        <v>250.642</v>
      </c>
      <c r="X129" s="62">
        <v>184.62799999999999</v>
      </c>
      <c r="Y129" s="62">
        <v>190.977</v>
      </c>
      <c r="Z129" s="62">
        <v>177.768</v>
      </c>
      <c r="AA129" s="62">
        <v>173.19900000000001</v>
      </c>
      <c r="AB129" s="62">
        <v>157.29599999999999</v>
      </c>
      <c r="AC129" s="62">
        <v>163.35599999999999</v>
      </c>
      <c r="AD129" s="62">
        <v>164.84800000000001</v>
      </c>
    </row>
    <row r="130" spans="1:30" x14ac:dyDescent="0.2">
      <c r="A130" s="62">
        <v>129</v>
      </c>
      <c r="B130" s="62">
        <v>500</v>
      </c>
      <c r="C130" s="62">
        <v>33.542000000000002</v>
      </c>
      <c r="D130" s="62">
        <v>35.253999999999998</v>
      </c>
      <c r="E130" s="62">
        <v>35.539000000000001</v>
      </c>
      <c r="F130" s="62">
        <v>36.274000000000001</v>
      </c>
      <c r="G130" s="62">
        <v>36.729999999999997</v>
      </c>
      <c r="H130" s="62">
        <v>36.771999999999998</v>
      </c>
      <c r="I130" s="62">
        <v>36.06</v>
      </c>
      <c r="J130" s="62">
        <v>35.715000000000003</v>
      </c>
      <c r="K130" s="62">
        <v>37.936</v>
      </c>
      <c r="L130" s="62">
        <v>41.246000000000002</v>
      </c>
      <c r="M130" s="62">
        <v>42.515000000000001</v>
      </c>
      <c r="N130" s="62">
        <v>43.014000000000003</v>
      </c>
      <c r="O130" s="62">
        <v>42.768999999999998</v>
      </c>
      <c r="P130" s="62">
        <v>46.334000000000003</v>
      </c>
      <c r="Q130" s="62">
        <v>45.335000000000001</v>
      </c>
      <c r="R130" s="62">
        <v>43.643000000000001</v>
      </c>
      <c r="S130" s="62">
        <v>42.965000000000003</v>
      </c>
      <c r="T130" s="62">
        <v>41.688000000000002</v>
      </c>
      <c r="U130" s="62">
        <v>41.276000000000003</v>
      </c>
      <c r="V130" s="62">
        <v>41.375</v>
      </c>
      <c r="W130" s="62">
        <v>41.365000000000002</v>
      </c>
      <c r="X130" s="62">
        <v>40.502000000000002</v>
      </c>
      <c r="Y130" s="62">
        <v>42.561999999999998</v>
      </c>
      <c r="Z130" s="62">
        <v>40.26</v>
      </c>
      <c r="AA130" s="62">
        <v>44.192</v>
      </c>
      <c r="AB130" s="62">
        <v>38.277000000000001</v>
      </c>
      <c r="AC130" s="62">
        <v>44.232999999999997</v>
      </c>
      <c r="AD130" s="62">
        <v>38.646000000000001</v>
      </c>
    </row>
    <row r="131" spans="1:30" x14ac:dyDescent="0.2">
      <c r="A131" s="62">
        <v>130</v>
      </c>
      <c r="B131" s="62">
        <v>500</v>
      </c>
      <c r="C131" s="62">
        <v>98.674999999999997</v>
      </c>
      <c r="D131" s="62">
        <v>105.378</v>
      </c>
      <c r="E131" s="62">
        <v>107.684</v>
      </c>
      <c r="F131" s="62">
        <v>115.38200000000001</v>
      </c>
      <c r="G131" s="62">
        <v>115.758</v>
      </c>
      <c r="H131" s="62">
        <v>119.94799999999999</v>
      </c>
      <c r="I131" s="62">
        <v>124.902</v>
      </c>
      <c r="J131" s="62">
        <v>129.14099999999999</v>
      </c>
      <c r="K131" s="62">
        <v>137.18199999999999</v>
      </c>
      <c r="L131" s="62">
        <v>144.41300000000001</v>
      </c>
      <c r="M131" s="62">
        <v>154.66200000000001</v>
      </c>
      <c r="N131" s="62">
        <v>164.13499999999999</v>
      </c>
      <c r="O131" s="62">
        <v>175.51900000000001</v>
      </c>
      <c r="P131" s="62">
        <v>199.18899999999999</v>
      </c>
      <c r="Q131" s="62">
        <v>203.172</v>
      </c>
      <c r="R131" s="62">
        <v>206.30600000000001</v>
      </c>
      <c r="S131" s="62">
        <v>204.16</v>
      </c>
      <c r="T131" s="62">
        <v>202.321</v>
      </c>
      <c r="U131" s="62">
        <v>201.70099999999999</v>
      </c>
      <c r="V131" s="62">
        <v>205.13300000000001</v>
      </c>
      <c r="W131" s="62">
        <v>208.52099999999999</v>
      </c>
      <c r="X131" s="62">
        <v>207.458</v>
      </c>
      <c r="Y131" s="62">
        <v>217.173</v>
      </c>
      <c r="Z131" s="62">
        <v>207.77699999999999</v>
      </c>
      <c r="AA131" s="62">
        <v>227.10499999999999</v>
      </c>
      <c r="AB131" s="62">
        <v>195.19399999999999</v>
      </c>
      <c r="AC131" s="62">
        <v>224.78200000000001</v>
      </c>
      <c r="AD131" s="62">
        <v>197.387</v>
      </c>
    </row>
    <row r="132" spans="1:30" x14ac:dyDescent="0.2">
      <c r="A132" s="62">
        <v>131</v>
      </c>
      <c r="B132" s="62">
        <v>500</v>
      </c>
      <c r="C132" s="62">
        <v>0</v>
      </c>
      <c r="D132" s="62">
        <v>0</v>
      </c>
      <c r="E132" s="62">
        <v>0</v>
      </c>
      <c r="F132" s="62">
        <v>0</v>
      </c>
      <c r="G132" s="62">
        <v>0</v>
      </c>
      <c r="H132" s="62">
        <v>0</v>
      </c>
      <c r="I132" s="62">
        <v>0</v>
      </c>
      <c r="J132" s="62">
        <v>0</v>
      </c>
      <c r="K132" s="62">
        <v>0</v>
      </c>
      <c r="L132" s="62">
        <v>0</v>
      </c>
      <c r="M132" s="62">
        <v>0</v>
      </c>
      <c r="N132" s="62">
        <v>0</v>
      </c>
      <c r="O132" s="62">
        <v>0</v>
      </c>
      <c r="P132" s="62">
        <v>0</v>
      </c>
      <c r="Q132" s="62">
        <v>0</v>
      </c>
      <c r="R132" s="62">
        <v>0</v>
      </c>
      <c r="S132" s="62">
        <v>0</v>
      </c>
      <c r="T132" s="62">
        <v>0</v>
      </c>
      <c r="U132" s="62">
        <v>0</v>
      </c>
      <c r="V132" s="62">
        <v>0</v>
      </c>
      <c r="W132" s="62">
        <v>0</v>
      </c>
      <c r="X132" s="62">
        <v>0</v>
      </c>
      <c r="Y132" s="62">
        <v>0</v>
      </c>
      <c r="Z132" s="62">
        <v>0</v>
      </c>
      <c r="AA132" s="62">
        <v>0</v>
      </c>
      <c r="AB132" s="62">
        <v>0</v>
      </c>
      <c r="AC132" s="62">
        <v>0</v>
      </c>
      <c r="AD132" s="62">
        <v>0</v>
      </c>
    </row>
    <row r="133" spans="1:30" x14ac:dyDescent="0.2">
      <c r="A133" s="62">
        <v>132</v>
      </c>
      <c r="B133" s="62">
        <v>500</v>
      </c>
      <c r="C133" s="62">
        <v>0</v>
      </c>
      <c r="D133" s="62">
        <v>0</v>
      </c>
      <c r="E133" s="62">
        <v>0</v>
      </c>
      <c r="F133" s="62">
        <v>0</v>
      </c>
      <c r="G133" s="62">
        <v>0</v>
      </c>
      <c r="H133" s="62">
        <v>0</v>
      </c>
      <c r="I133" s="62">
        <v>0</v>
      </c>
      <c r="J133" s="62">
        <v>0</v>
      </c>
      <c r="K133" s="62">
        <v>0</v>
      </c>
      <c r="L133" s="62">
        <v>0</v>
      </c>
      <c r="M133" s="62">
        <v>0</v>
      </c>
      <c r="N133" s="62">
        <v>0</v>
      </c>
      <c r="O133" s="62">
        <v>0</v>
      </c>
      <c r="P133" s="62">
        <v>0</v>
      </c>
      <c r="Q133" s="62">
        <v>0</v>
      </c>
      <c r="R133" s="62">
        <v>0</v>
      </c>
      <c r="S133" s="62">
        <v>0</v>
      </c>
      <c r="T133" s="62">
        <v>0</v>
      </c>
      <c r="U133" s="62">
        <v>0</v>
      </c>
      <c r="V133" s="62">
        <v>0</v>
      </c>
      <c r="W133" s="62">
        <v>0</v>
      </c>
      <c r="X133" s="62">
        <v>0</v>
      </c>
      <c r="Y133" s="62">
        <v>0</v>
      </c>
      <c r="Z133" s="62">
        <v>0</v>
      </c>
      <c r="AA133" s="62">
        <v>0</v>
      </c>
      <c r="AB133" s="62">
        <v>0</v>
      </c>
      <c r="AC133" s="62">
        <v>0</v>
      </c>
      <c r="AD133" s="6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211"/>
  <sheetViews>
    <sheetView topLeftCell="A68" workbookViewId="0">
      <selection activeCell="C82" sqref="C82"/>
    </sheetView>
  </sheetViews>
  <sheetFormatPr defaultRowHeight="12.75" x14ac:dyDescent="0.2"/>
  <sheetData>
    <row r="1" spans="2:44" ht="13.5" thickBot="1" x14ac:dyDescent="0.25">
      <c r="B1">
        <v>1976</v>
      </c>
      <c r="C1">
        <f>B1+1</f>
        <v>1977</v>
      </c>
      <c r="D1">
        <f t="shared" ref="D1:Q1" si="0">C1+1</f>
        <v>1978</v>
      </c>
      <c r="E1">
        <f t="shared" si="0"/>
        <v>1979</v>
      </c>
      <c r="F1">
        <f t="shared" si="0"/>
        <v>1980</v>
      </c>
      <c r="G1">
        <f t="shared" si="0"/>
        <v>1981</v>
      </c>
      <c r="H1">
        <f t="shared" si="0"/>
        <v>1982</v>
      </c>
      <c r="I1">
        <f t="shared" si="0"/>
        <v>1983</v>
      </c>
      <c r="J1">
        <f t="shared" si="0"/>
        <v>1984</v>
      </c>
      <c r="K1">
        <f t="shared" si="0"/>
        <v>1985</v>
      </c>
      <c r="L1">
        <f t="shared" si="0"/>
        <v>1986</v>
      </c>
      <c r="M1">
        <f t="shared" si="0"/>
        <v>1987</v>
      </c>
      <c r="N1">
        <f t="shared" si="0"/>
        <v>1988</v>
      </c>
      <c r="O1">
        <f t="shared" si="0"/>
        <v>1989</v>
      </c>
      <c r="P1">
        <f t="shared" si="0"/>
        <v>1990</v>
      </c>
      <c r="Q1">
        <f t="shared" si="0"/>
        <v>1991</v>
      </c>
      <c r="S1" t="s">
        <v>2</v>
      </c>
      <c r="T1" t="s">
        <v>3</v>
      </c>
      <c r="V1" t="s">
        <v>31</v>
      </c>
      <c r="X1" s="1">
        <f>C1</f>
        <v>1977</v>
      </c>
      <c r="Y1" s="1">
        <f t="shared" ref="Y1:AI1" si="1">D1</f>
        <v>1978</v>
      </c>
      <c r="Z1" s="1">
        <f t="shared" si="1"/>
        <v>1979</v>
      </c>
      <c r="AA1" s="1">
        <f t="shared" si="1"/>
        <v>1980</v>
      </c>
      <c r="AB1" s="1">
        <f t="shared" si="1"/>
        <v>1981</v>
      </c>
      <c r="AC1" s="1">
        <f t="shared" si="1"/>
        <v>1982</v>
      </c>
      <c r="AD1" s="1">
        <f t="shared" si="1"/>
        <v>1983</v>
      </c>
      <c r="AE1" s="1">
        <f t="shared" si="1"/>
        <v>1984</v>
      </c>
      <c r="AF1" s="1">
        <f t="shared" si="1"/>
        <v>1985</v>
      </c>
      <c r="AG1" s="1">
        <f t="shared" si="1"/>
        <v>1986</v>
      </c>
      <c r="AH1" s="1">
        <f t="shared" si="1"/>
        <v>1987</v>
      </c>
      <c r="AI1" s="1">
        <f t="shared" si="1"/>
        <v>1988</v>
      </c>
      <c r="AK1" t="s">
        <v>32</v>
      </c>
      <c r="AN1" s="52" t="s">
        <v>271</v>
      </c>
    </row>
    <row r="2" spans="2:44" x14ac:dyDescent="0.2">
      <c r="B2">
        <v>369.3</v>
      </c>
      <c r="C2">
        <v>317.5</v>
      </c>
      <c r="D2">
        <v>405.9</v>
      </c>
      <c r="E2">
        <v>315.39999999999998</v>
      </c>
      <c r="F2">
        <v>263.7</v>
      </c>
      <c r="G2">
        <v>231.6</v>
      </c>
      <c r="H2">
        <v>243.1</v>
      </c>
      <c r="I2">
        <v>208.9</v>
      </c>
      <c r="J2">
        <v>210.8</v>
      </c>
      <c r="K2">
        <v>177.2</v>
      </c>
      <c r="L2">
        <v>0</v>
      </c>
      <c r="M2">
        <v>0</v>
      </c>
      <c r="N2">
        <v>0</v>
      </c>
      <c r="O2">
        <v>0</v>
      </c>
      <c r="P2">
        <v>0</v>
      </c>
      <c r="Q2">
        <v>0</v>
      </c>
      <c r="S2">
        <v>1</v>
      </c>
      <c r="T2">
        <v>19</v>
      </c>
      <c r="V2" s="2" t="s">
        <v>12</v>
      </c>
      <c r="W2">
        <v>1</v>
      </c>
      <c r="X2">
        <f>SUMIF($T2:$T76,"=1",C2:C76)</f>
        <v>803.34</v>
      </c>
      <c r="Y2">
        <f t="shared" ref="Y2:AI2" si="2">SUMIF($T2:$T76,"=1",D2:D76)</f>
        <v>826.99</v>
      </c>
      <c r="Z2">
        <f t="shared" si="2"/>
        <v>798.23</v>
      </c>
      <c r="AA2">
        <f t="shared" si="2"/>
        <v>793.88</v>
      </c>
      <c r="AB2">
        <f t="shared" si="2"/>
        <v>750.42000000000007</v>
      </c>
      <c r="AC2">
        <f t="shared" si="2"/>
        <v>767.66000000000008</v>
      </c>
      <c r="AD2">
        <f t="shared" si="2"/>
        <v>797.26</v>
      </c>
      <c r="AE2">
        <f t="shared" si="2"/>
        <v>791.18999999999994</v>
      </c>
      <c r="AF2">
        <f t="shared" si="2"/>
        <v>700.95</v>
      </c>
      <c r="AG2">
        <f t="shared" si="2"/>
        <v>745.83</v>
      </c>
      <c r="AH2">
        <f t="shared" si="2"/>
        <v>714.59</v>
      </c>
      <c r="AI2">
        <f t="shared" si="2"/>
        <v>734.96</v>
      </c>
      <c r="AK2">
        <v>802.14619906513258</v>
      </c>
      <c r="AL2" s="52" t="s">
        <v>272</v>
      </c>
    </row>
    <row r="3" spans="2:44" x14ac:dyDescent="0.2">
      <c r="B3">
        <v>4.4020000000000001</v>
      </c>
      <c r="C3">
        <v>4.6589999999999998</v>
      </c>
      <c r="D3">
        <v>5.048</v>
      </c>
      <c r="E3">
        <v>5.4059999999999997</v>
      </c>
      <c r="F3">
        <v>5.7290000000000001</v>
      </c>
      <c r="G3">
        <v>6.0880000000000001</v>
      </c>
      <c r="H3">
        <v>6.2</v>
      </c>
      <c r="I3">
        <v>6.3209999999999997</v>
      </c>
      <c r="J3">
        <v>6.4260000000000002</v>
      </c>
      <c r="K3">
        <v>6.258</v>
      </c>
      <c r="L3">
        <v>0</v>
      </c>
      <c r="M3">
        <v>0</v>
      </c>
      <c r="N3">
        <v>0</v>
      </c>
      <c r="O3">
        <v>0</v>
      </c>
      <c r="P3">
        <v>0</v>
      </c>
      <c r="Q3">
        <v>0</v>
      </c>
      <c r="S3">
        <f>S2+1</f>
        <v>2</v>
      </c>
      <c r="T3">
        <v>19</v>
      </c>
      <c r="V3" s="2" t="s">
        <v>13</v>
      </c>
      <c r="W3">
        <f>W2+1</f>
        <v>2</v>
      </c>
      <c r="X3">
        <f>SUMIF($T$2:$T$76,"=2",C$2:C$76)</f>
        <v>243.11000000000004</v>
      </c>
      <c r="Y3">
        <f t="shared" ref="Y3:AI3" si="3">SUMIF($T$2:$T$76,"=2",D$2:D$76)</f>
        <v>238.7</v>
      </c>
      <c r="Z3">
        <f t="shared" si="3"/>
        <v>225.95999999999998</v>
      </c>
      <c r="AA3">
        <f t="shared" si="3"/>
        <v>208.69300000000001</v>
      </c>
      <c r="AB3">
        <f t="shared" si="3"/>
        <v>203.92000000000002</v>
      </c>
      <c r="AC3">
        <f t="shared" si="3"/>
        <v>180.42699999999999</v>
      </c>
      <c r="AD3">
        <f t="shared" si="3"/>
        <v>202.04899999999998</v>
      </c>
      <c r="AE3">
        <f t="shared" si="3"/>
        <v>198.88</v>
      </c>
      <c r="AF3">
        <f t="shared" si="3"/>
        <v>176.352</v>
      </c>
      <c r="AG3">
        <f t="shared" si="3"/>
        <v>190.09</v>
      </c>
      <c r="AH3">
        <f t="shared" si="3"/>
        <v>200.22</v>
      </c>
      <c r="AI3">
        <f t="shared" si="3"/>
        <v>115.01</v>
      </c>
      <c r="AK3">
        <v>173.29356197830089</v>
      </c>
    </row>
    <row r="4" spans="2:44" x14ac:dyDescent="0.2">
      <c r="B4">
        <v>139.4</v>
      </c>
      <c r="C4">
        <v>122.1</v>
      </c>
      <c r="D4">
        <v>139.4</v>
      </c>
      <c r="E4">
        <v>137.30000000000001</v>
      </c>
      <c r="F4">
        <v>114.7</v>
      </c>
      <c r="G4">
        <v>111.3</v>
      </c>
      <c r="H4">
        <v>64.48</v>
      </c>
      <c r="I4">
        <v>62.68</v>
      </c>
      <c r="J4">
        <v>74.290000000000006</v>
      </c>
      <c r="K4">
        <v>67.52</v>
      </c>
      <c r="L4">
        <v>0</v>
      </c>
      <c r="M4">
        <v>0</v>
      </c>
      <c r="N4">
        <v>0</v>
      </c>
      <c r="O4">
        <v>0</v>
      </c>
      <c r="P4">
        <v>0</v>
      </c>
      <c r="Q4">
        <v>0</v>
      </c>
      <c r="S4">
        <f t="shared" ref="S4:S67" si="4">S3+1</f>
        <v>3</v>
      </c>
      <c r="T4">
        <v>19</v>
      </c>
      <c r="V4" s="2" t="s">
        <v>14</v>
      </c>
      <c r="W4">
        <f t="shared" ref="W4:W19" si="5">W3+1</f>
        <v>3</v>
      </c>
      <c r="X4">
        <f>SUMIF($T$2:$T$76,"=3",C$2:C$76)</f>
        <v>44.046999999999997</v>
      </c>
      <c r="Y4">
        <f t="shared" ref="Y4:AI4" si="6">SUMIF($T$2:$T$76,"=3",D$2:D$76)</f>
        <v>45.828000000000003</v>
      </c>
      <c r="Z4">
        <f t="shared" si="6"/>
        <v>41.186</v>
      </c>
      <c r="AA4">
        <f t="shared" si="6"/>
        <v>40.207000000000008</v>
      </c>
      <c r="AB4">
        <f t="shared" si="6"/>
        <v>40.092999999999996</v>
      </c>
      <c r="AC4">
        <f t="shared" si="6"/>
        <v>32.198999999999998</v>
      </c>
      <c r="AD4">
        <f t="shared" si="6"/>
        <v>35.008000000000003</v>
      </c>
      <c r="AE4">
        <f t="shared" si="6"/>
        <v>30.838999999999999</v>
      </c>
      <c r="AF4">
        <f t="shared" si="6"/>
        <v>26.385999999999999</v>
      </c>
      <c r="AG4">
        <f t="shared" si="6"/>
        <v>31.163000000000004</v>
      </c>
      <c r="AH4">
        <f t="shared" si="6"/>
        <v>31.866000000000003</v>
      </c>
      <c r="AI4">
        <f t="shared" si="6"/>
        <v>34.570999999999998</v>
      </c>
      <c r="AK4">
        <v>39.968558004688262</v>
      </c>
    </row>
    <row r="5" spans="2:44" x14ac:dyDescent="0.2">
      <c r="B5">
        <v>73.569999999999993</v>
      </c>
      <c r="C5">
        <v>80.900000000000006</v>
      </c>
      <c r="D5">
        <v>76.930000000000007</v>
      </c>
      <c r="E5">
        <v>89.11</v>
      </c>
      <c r="F5">
        <v>93.94</v>
      </c>
      <c r="G5">
        <v>91.95</v>
      </c>
      <c r="H5">
        <v>93.8</v>
      </c>
      <c r="I5">
        <v>86.84</v>
      </c>
      <c r="J5">
        <v>96.92</v>
      </c>
      <c r="K5">
        <v>95.11</v>
      </c>
      <c r="L5">
        <v>0</v>
      </c>
      <c r="M5">
        <v>0</v>
      </c>
      <c r="N5">
        <v>0</v>
      </c>
      <c r="O5">
        <v>0</v>
      </c>
      <c r="P5">
        <v>0</v>
      </c>
      <c r="Q5">
        <v>0</v>
      </c>
      <c r="S5">
        <f t="shared" si="4"/>
        <v>4</v>
      </c>
      <c r="T5">
        <v>19</v>
      </c>
      <c r="V5">
        <v>321</v>
      </c>
      <c r="W5">
        <f t="shared" si="5"/>
        <v>4</v>
      </c>
      <c r="X5">
        <f>SUMIF($T$2:$T$76,"=4",C$2:C$76)</f>
        <v>124.69000000000001</v>
      </c>
      <c r="Y5">
        <f t="shared" ref="Y5:AI5" si="7">SUMIF($T$2:$T$76,"=4",D$2:D$76)</f>
        <v>135.23699999999999</v>
      </c>
      <c r="Z5">
        <f t="shared" si="7"/>
        <v>132.91400000000002</v>
      </c>
      <c r="AA5">
        <f t="shared" si="7"/>
        <v>109.61</v>
      </c>
      <c r="AB5">
        <f t="shared" si="7"/>
        <v>92.135999999999996</v>
      </c>
      <c r="AC5">
        <f t="shared" si="7"/>
        <v>69.281000000000006</v>
      </c>
      <c r="AD5">
        <f t="shared" si="7"/>
        <v>73.831000000000003</v>
      </c>
      <c r="AE5">
        <f t="shared" si="7"/>
        <v>72.606999999999999</v>
      </c>
      <c r="AF5">
        <f t="shared" si="7"/>
        <v>65.114999999999995</v>
      </c>
      <c r="AG5">
        <f t="shared" si="7"/>
        <v>83.364999999999995</v>
      </c>
      <c r="AH5">
        <f t="shared" si="7"/>
        <v>85.831000000000003</v>
      </c>
      <c r="AI5">
        <f t="shared" si="7"/>
        <v>101.13000000000001</v>
      </c>
      <c r="AK5">
        <v>306.32525432801117</v>
      </c>
    </row>
    <row r="6" spans="2:44" x14ac:dyDescent="0.2">
      <c r="B6">
        <v>280.60000000000002</v>
      </c>
      <c r="C6">
        <v>307.60000000000002</v>
      </c>
      <c r="D6">
        <v>317.89999999999998</v>
      </c>
      <c r="E6">
        <v>321.60000000000002</v>
      </c>
      <c r="F6">
        <v>324.7</v>
      </c>
      <c r="G6">
        <v>325.2</v>
      </c>
      <c r="H6">
        <v>316.89999999999998</v>
      </c>
      <c r="I6">
        <v>311.10000000000002</v>
      </c>
      <c r="J6">
        <v>310.10000000000002</v>
      </c>
      <c r="K6">
        <v>303.10000000000002</v>
      </c>
      <c r="L6">
        <v>0</v>
      </c>
      <c r="M6">
        <v>0</v>
      </c>
      <c r="N6">
        <v>0</v>
      </c>
      <c r="O6">
        <v>0</v>
      </c>
      <c r="P6">
        <v>0</v>
      </c>
      <c r="Q6">
        <v>0</v>
      </c>
      <c r="S6">
        <f t="shared" si="4"/>
        <v>5</v>
      </c>
      <c r="T6">
        <v>19</v>
      </c>
      <c r="V6">
        <v>322</v>
      </c>
      <c r="W6">
        <f t="shared" si="5"/>
        <v>5</v>
      </c>
      <c r="X6">
        <f>SUMIF($T$2:$T$76,"=5",C$2:C$76)</f>
        <v>1128.6999999999998</v>
      </c>
      <c r="Y6">
        <f t="shared" ref="Y6:AI6" si="8">SUMIF($T$2:$T$76,"=5",D$2:D$76)</f>
        <v>1098.1699999999998</v>
      </c>
      <c r="Z6">
        <f t="shared" si="8"/>
        <v>1090.3700000000001</v>
      </c>
      <c r="AA6">
        <f t="shared" si="8"/>
        <v>1050.3400000000001</v>
      </c>
      <c r="AB6">
        <f t="shared" si="8"/>
        <v>997.98</v>
      </c>
      <c r="AC6">
        <f t="shared" si="8"/>
        <v>952.51</v>
      </c>
      <c r="AD6">
        <f t="shared" si="8"/>
        <v>1034.43</v>
      </c>
      <c r="AE6">
        <f t="shared" si="8"/>
        <v>1047.83</v>
      </c>
      <c r="AF6">
        <f t="shared" si="8"/>
        <v>986.81000000000006</v>
      </c>
      <c r="AG6">
        <f t="shared" si="8"/>
        <v>995.79000000000008</v>
      </c>
      <c r="AH6">
        <f t="shared" si="8"/>
        <v>1001.25</v>
      </c>
      <c r="AI6">
        <f t="shared" si="8"/>
        <v>1022.6899999999999</v>
      </c>
      <c r="AK6">
        <v>2157.1775257724162</v>
      </c>
    </row>
    <row r="7" spans="2:44" x14ac:dyDescent="0.2">
      <c r="B7">
        <v>262</v>
      </c>
      <c r="C7">
        <v>276.89999999999998</v>
      </c>
      <c r="D7">
        <v>286.5</v>
      </c>
      <c r="E7">
        <v>305.89999999999998</v>
      </c>
      <c r="F7">
        <v>286.8</v>
      </c>
      <c r="G7">
        <v>264</v>
      </c>
      <c r="H7">
        <v>214.7</v>
      </c>
      <c r="I7">
        <v>231.8</v>
      </c>
      <c r="J7">
        <v>228.2</v>
      </c>
      <c r="K7">
        <v>217.3</v>
      </c>
      <c r="L7">
        <v>0</v>
      </c>
      <c r="M7">
        <v>0</v>
      </c>
      <c r="N7">
        <v>0</v>
      </c>
      <c r="O7">
        <v>0</v>
      </c>
      <c r="P7">
        <v>0</v>
      </c>
      <c r="Q7">
        <v>0</v>
      </c>
      <c r="S7">
        <f t="shared" si="4"/>
        <v>6</v>
      </c>
      <c r="T7">
        <v>19</v>
      </c>
      <c r="V7">
        <v>323</v>
      </c>
      <c r="W7">
        <f t="shared" si="5"/>
        <v>6</v>
      </c>
      <c r="X7">
        <f>SUMIF($T$2:$T$76,"=6",C$2:C$76)</f>
        <v>46.49</v>
      </c>
      <c r="Y7">
        <f t="shared" ref="Y7:AI7" si="9">SUMIF($T$2:$T$76,"=6",D$2:D$76)</f>
        <v>46.76</v>
      </c>
      <c r="Z7">
        <f t="shared" si="9"/>
        <v>51.27</v>
      </c>
      <c r="AA7">
        <f t="shared" si="9"/>
        <v>49.94</v>
      </c>
      <c r="AB7">
        <f t="shared" si="9"/>
        <v>49.95</v>
      </c>
      <c r="AC7">
        <f t="shared" si="9"/>
        <v>52.48</v>
      </c>
      <c r="AD7">
        <f t="shared" si="9"/>
        <v>55.15</v>
      </c>
      <c r="AE7">
        <f t="shared" si="9"/>
        <v>60.21</v>
      </c>
      <c r="AF7">
        <f t="shared" si="9"/>
        <v>51.11</v>
      </c>
      <c r="AG7">
        <f t="shared" si="9"/>
        <v>58.24</v>
      </c>
      <c r="AH7">
        <f t="shared" si="9"/>
        <v>66.930000000000007</v>
      </c>
      <c r="AI7">
        <f t="shared" si="9"/>
        <v>70.13</v>
      </c>
      <c r="AK7">
        <v>53.106496242108548</v>
      </c>
    </row>
    <row r="8" spans="2:44" x14ac:dyDescent="0.2">
      <c r="B8">
        <v>302.3</v>
      </c>
      <c r="C8">
        <v>319.3</v>
      </c>
      <c r="D8">
        <v>327.39999999999998</v>
      </c>
      <c r="E8">
        <v>308.39999999999998</v>
      </c>
      <c r="F8">
        <v>312.8</v>
      </c>
      <c r="G8">
        <v>326.7</v>
      </c>
      <c r="H8">
        <v>292</v>
      </c>
      <c r="I8">
        <v>279</v>
      </c>
      <c r="J8">
        <v>330.4</v>
      </c>
      <c r="K8">
        <v>314</v>
      </c>
      <c r="L8">
        <v>0</v>
      </c>
      <c r="M8">
        <v>0</v>
      </c>
      <c r="N8">
        <v>0</v>
      </c>
      <c r="O8">
        <v>0</v>
      </c>
      <c r="P8">
        <v>0</v>
      </c>
      <c r="Q8">
        <v>0</v>
      </c>
      <c r="S8">
        <f t="shared" si="4"/>
        <v>7</v>
      </c>
      <c r="T8">
        <v>19</v>
      </c>
      <c r="V8">
        <v>324</v>
      </c>
      <c r="W8">
        <f t="shared" si="5"/>
        <v>7</v>
      </c>
      <c r="X8">
        <f>SUMIF($T$2:$T$76,"=7",C$2:C$76)</f>
        <v>2933.33</v>
      </c>
      <c r="Y8">
        <f t="shared" ref="Y8:AI8" si="10">SUMIF($T$2:$T$76,"=7",D$2:D$76)</f>
        <v>2924.21</v>
      </c>
      <c r="Z8">
        <f t="shared" si="10"/>
        <v>2873.53</v>
      </c>
      <c r="AA8">
        <f t="shared" si="10"/>
        <v>2760.21</v>
      </c>
      <c r="AB8">
        <f t="shared" si="10"/>
        <v>2321.84</v>
      </c>
      <c r="AC8">
        <f t="shared" si="10"/>
        <v>2302.92</v>
      </c>
      <c r="AD8">
        <f t="shared" si="10"/>
        <v>2329.9850000000001</v>
      </c>
      <c r="AE8">
        <f t="shared" si="10"/>
        <v>2351.4549999999999</v>
      </c>
      <c r="AF8">
        <f t="shared" si="10"/>
        <v>2376.7159999999999</v>
      </c>
      <c r="AG8">
        <f t="shared" si="10"/>
        <v>2140.75</v>
      </c>
      <c r="AH8">
        <f t="shared" si="10"/>
        <v>1701.73</v>
      </c>
      <c r="AI8">
        <f t="shared" si="10"/>
        <v>1803.712</v>
      </c>
      <c r="AK8">
        <v>2883.4906625929257</v>
      </c>
    </row>
    <row r="9" spans="2:44" x14ac:dyDescent="0.2">
      <c r="B9">
        <v>1.4870000000000001</v>
      </c>
      <c r="C9">
        <v>1.7010000000000001</v>
      </c>
      <c r="D9">
        <v>1.76</v>
      </c>
      <c r="E9">
        <v>2.1520000000000001</v>
      </c>
      <c r="F9">
        <v>1.9490000000000001</v>
      </c>
      <c r="G9">
        <v>1.4350000000000001</v>
      </c>
      <c r="H9">
        <v>1.2949999999999999</v>
      </c>
      <c r="I9">
        <v>1.462</v>
      </c>
      <c r="J9">
        <v>1.3280000000000001</v>
      </c>
      <c r="K9">
        <v>1.0569999999999999</v>
      </c>
      <c r="L9">
        <v>1.18</v>
      </c>
      <c r="M9">
        <v>1.224</v>
      </c>
      <c r="N9">
        <v>1.3240000000000001</v>
      </c>
      <c r="O9">
        <v>1.2350000000000001</v>
      </c>
      <c r="P9">
        <v>0.96519999999999995</v>
      </c>
      <c r="Q9">
        <v>0.94469999999999998</v>
      </c>
      <c r="S9">
        <f t="shared" si="4"/>
        <v>8</v>
      </c>
      <c r="T9">
        <v>4</v>
      </c>
      <c r="V9">
        <v>325</v>
      </c>
      <c r="W9">
        <f t="shared" si="5"/>
        <v>8</v>
      </c>
      <c r="X9">
        <f>SUMIF($T$2:$T$76,"=8",C$2:C$76)</f>
        <v>2323.027</v>
      </c>
      <c r="Y9">
        <f t="shared" ref="Y9:AI9" si="11">SUMIF($T$2:$T$76,"=8",D$2:D$76)</f>
        <v>2225.9299999999998</v>
      </c>
      <c r="Z9">
        <f t="shared" si="11"/>
        <v>2242.42</v>
      </c>
      <c r="AA9">
        <f t="shared" si="11"/>
        <v>2107.81</v>
      </c>
      <c r="AB9">
        <f t="shared" si="11"/>
        <v>2046.8300000000002</v>
      </c>
      <c r="AC9">
        <f t="shared" si="11"/>
        <v>1832.7950000000001</v>
      </c>
      <c r="AD9">
        <f t="shared" si="11"/>
        <v>1899.9400000000003</v>
      </c>
      <c r="AE9">
        <f t="shared" si="11"/>
        <v>1975.94</v>
      </c>
      <c r="AF9">
        <f t="shared" si="11"/>
        <v>1682.64</v>
      </c>
      <c r="AG9">
        <f t="shared" si="11"/>
        <v>1503.0700000000002</v>
      </c>
      <c r="AH9">
        <f t="shared" si="11"/>
        <v>1684.5700000000002</v>
      </c>
      <c r="AI9">
        <f t="shared" si="11"/>
        <v>1785.1000000000001</v>
      </c>
      <c r="AK9">
        <v>2110.4911256092378</v>
      </c>
    </row>
    <row r="10" spans="2:44" x14ac:dyDescent="0.2">
      <c r="B10">
        <v>1.298</v>
      </c>
      <c r="C10">
        <v>1.589</v>
      </c>
      <c r="D10">
        <v>1.577</v>
      </c>
      <c r="E10">
        <v>1.3620000000000001</v>
      </c>
      <c r="F10">
        <v>1.2609999999999999</v>
      </c>
      <c r="G10">
        <v>1.181</v>
      </c>
      <c r="H10">
        <v>0.876</v>
      </c>
      <c r="I10">
        <v>0.77900000000000003</v>
      </c>
      <c r="J10">
        <v>0.98899999999999999</v>
      </c>
      <c r="K10">
        <v>0.84799999999999998</v>
      </c>
      <c r="L10">
        <v>1.0249999999999999</v>
      </c>
      <c r="M10">
        <v>1.2170000000000001</v>
      </c>
      <c r="N10">
        <v>1.296</v>
      </c>
      <c r="O10">
        <v>1.089</v>
      </c>
      <c r="P10">
        <v>0.96889999999999998</v>
      </c>
      <c r="Q10">
        <v>0.83450000000000002</v>
      </c>
      <c r="S10">
        <f t="shared" si="4"/>
        <v>9</v>
      </c>
      <c r="T10">
        <v>4</v>
      </c>
      <c r="V10">
        <v>326</v>
      </c>
      <c r="W10">
        <f t="shared" si="5"/>
        <v>9</v>
      </c>
      <c r="X10">
        <f>SUMIF($T$2:$T$76,"=9",C$2:C$76)</f>
        <v>189.1</v>
      </c>
      <c r="Y10">
        <f t="shared" ref="Y10:AI10" si="12">SUMIF($T$2:$T$76,"=9",D$2:D$76)</f>
        <v>177.2</v>
      </c>
      <c r="Z10">
        <f t="shared" si="12"/>
        <v>164.9</v>
      </c>
      <c r="AA10">
        <f t="shared" si="12"/>
        <v>143.9</v>
      </c>
      <c r="AB10">
        <f t="shared" si="12"/>
        <v>138.6</v>
      </c>
      <c r="AC10">
        <f t="shared" si="12"/>
        <v>131.69999999999999</v>
      </c>
      <c r="AD10">
        <f t="shared" si="12"/>
        <v>139.1</v>
      </c>
      <c r="AE10">
        <f t="shared" si="12"/>
        <v>140.80000000000001</v>
      </c>
      <c r="AF10">
        <f t="shared" si="12"/>
        <v>124.2</v>
      </c>
      <c r="AG10">
        <f t="shared" si="12"/>
        <v>134.1</v>
      </c>
      <c r="AH10">
        <f t="shared" si="12"/>
        <v>153.9</v>
      </c>
      <c r="AI10">
        <f t="shared" si="12"/>
        <v>153.19999999999999</v>
      </c>
      <c r="AK10">
        <v>147.18466748541528</v>
      </c>
      <c r="AQ10">
        <v>1987</v>
      </c>
    </row>
    <row r="11" spans="2:44" x14ac:dyDescent="0.2">
      <c r="B11">
        <v>140.69999999999999</v>
      </c>
      <c r="C11">
        <v>121.4</v>
      </c>
      <c r="D11">
        <v>131.9</v>
      </c>
      <c r="E11">
        <v>129.4</v>
      </c>
      <c r="F11">
        <v>106.4</v>
      </c>
      <c r="G11">
        <v>89.52</v>
      </c>
      <c r="H11">
        <v>67.11</v>
      </c>
      <c r="I11">
        <v>71.59</v>
      </c>
      <c r="J11">
        <v>70.290000000000006</v>
      </c>
      <c r="K11">
        <v>63.21</v>
      </c>
      <c r="L11">
        <v>81.16</v>
      </c>
      <c r="M11">
        <v>83.39</v>
      </c>
      <c r="N11">
        <v>98.51</v>
      </c>
      <c r="O11">
        <v>93.62</v>
      </c>
      <c r="P11">
        <v>91.98</v>
      </c>
      <c r="Q11">
        <v>100.5</v>
      </c>
      <c r="S11">
        <f t="shared" si="4"/>
        <v>10</v>
      </c>
      <c r="T11">
        <v>4</v>
      </c>
      <c r="V11">
        <v>327</v>
      </c>
      <c r="W11">
        <f t="shared" si="5"/>
        <v>10</v>
      </c>
      <c r="X11">
        <f>SUMIF($T$2:$T$76,"=10",C$2:C$76)</f>
        <v>1121.8</v>
      </c>
      <c r="Y11">
        <f t="shared" ref="Y11:AI11" si="13">SUMIF($T$2:$T$76,"=10",D$2:D$76)</f>
        <v>1135.0999999999999</v>
      </c>
      <c r="Z11">
        <f t="shared" si="13"/>
        <v>1123.8</v>
      </c>
      <c r="AA11">
        <f t="shared" si="13"/>
        <v>996.59999999999991</v>
      </c>
      <c r="AB11">
        <f t="shared" si="13"/>
        <v>950.69999999999993</v>
      </c>
      <c r="AC11">
        <f t="shared" si="13"/>
        <v>794.5</v>
      </c>
      <c r="AD11">
        <f t="shared" si="13"/>
        <v>867.2</v>
      </c>
      <c r="AE11">
        <f t="shared" si="13"/>
        <v>877.2</v>
      </c>
      <c r="AF11">
        <f t="shared" si="13"/>
        <v>800.5</v>
      </c>
      <c r="AG11">
        <f t="shared" si="13"/>
        <v>821.19999999999993</v>
      </c>
      <c r="AH11">
        <f t="shared" si="13"/>
        <v>799</v>
      </c>
      <c r="AI11">
        <f t="shared" si="13"/>
        <v>779.09999999999991</v>
      </c>
      <c r="AK11">
        <v>850.71748049492828</v>
      </c>
      <c r="AM11">
        <f>8917+9404.4+12195.4</f>
        <v>30516.800000000003</v>
      </c>
      <c r="AN11">
        <f>3.412*AM11*0.001</f>
        <v>104.12332160000001</v>
      </c>
      <c r="AQ11">
        <f>(9997.5+9700.7+13612.9)</f>
        <v>33311.1</v>
      </c>
      <c r="AR11">
        <f>3.412*AQ11*0.001</f>
        <v>113.6574732</v>
      </c>
    </row>
    <row r="12" spans="2:44" x14ac:dyDescent="0.2">
      <c r="B12">
        <v>17.920000000000002</v>
      </c>
      <c r="C12">
        <v>20.059999999999999</v>
      </c>
      <c r="D12">
        <v>19.84</v>
      </c>
      <c r="E12">
        <v>18.23</v>
      </c>
      <c r="F12">
        <v>16.309999999999999</v>
      </c>
      <c r="G12">
        <v>15.23</v>
      </c>
      <c r="H12">
        <v>13.23</v>
      </c>
      <c r="I12">
        <v>12.25</v>
      </c>
      <c r="J12">
        <v>12.65</v>
      </c>
      <c r="K12">
        <v>11.54</v>
      </c>
      <c r="L12">
        <v>13.83</v>
      </c>
      <c r="M12">
        <v>14.27</v>
      </c>
      <c r="N12">
        <v>16.23</v>
      </c>
      <c r="O12">
        <v>15.6</v>
      </c>
      <c r="P12">
        <v>13.07</v>
      </c>
      <c r="Q12">
        <v>13.48</v>
      </c>
      <c r="S12">
        <f t="shared" si="4"/>
        <v>11</v>
      </c>
      <c r="T12">
        <v>17</v>
      </c>
      <c r="V12">
        <v>331</v>
      </c>
      <c r="W12">
        <f t="shared" si="5"/>
        <v>11</v>
      </c>
      <c r="X12">
        <f>SUMIF($T$2:$T$76,"=11",C$2:C$76)</f>
        <v>3293.7</v>
      </c>
      <c r="Y12">
        <f t="shared" ref="Y12:AI12" si="14">SUMIF($T$2:$T$76,"=11",D$2:D$76)</f>
        <v>3490.9</v>
      </c>
      <c r="Z12">
        <f t="shared" si="14"/>
        <v>3481</v>
      </c>
      <c r="AA12">
        <f t="shared" si="14"/>
        <v>2838.7999999999997</v>
      </c>
      <c r="AB12">
        <f t="shared" si="14"/>
        <v>2791.4900000000002</v>
      </c>
      <c r="AC12">
        <f t="shared" si="14"/>
        <v>1888.06</v>
      </c>
      <c r="AD12">
        <f t="shared" si="14"/>
        <v>2053.3799999999997</v>
      </c>
      <c r="AE12">
        <f t="shared" si="14"/>
        <v>2074.89</v>
      </c>
      <c r="AF12">
        <f t="shared" si="14"/>
        <v>1881.41</v>
      </c>
      <c r="AG12">
        <f t="shared" si="14"/>
        <v>1638.36</v>
      </c>
      <c r="AH12">
        <f t="shared" si="14"/>
        <v>1537.6299999999999</v>
      </c>
      <c r="AI12">
        <f t="shared" si="14"/>
        <v>1654.82</v>
      </c>
      <c r="AK12">
        <v>2081.6435483659652</v>
      </c>
    </row>
    <row r="13" spans="2:44" x14ac:dyDescent="0.2">
      <c r="B13">
        <v>14.35</v>
      </c>
      <c r="C13">
        <v>15.91</v>
      </c>
      <c r="D13">
        <v>17.899999999999999</v>
      </c>
      <c r="E13">
        <v>17.27</v>
      </c>
      <c r="F13">
        <v>15.74</v>
      </c>
      <c r="G13">
        <v>14.19</v>
      </c>
      <c r="H13">
        <v>14.33</v>
      </c>
      <c r="I13">
        <v>16.07</v>
      </c>
      <c r="J13">
        <v>17.34</v>
      </c>
      <c r="K13">
        <v>16.5</v>
      </c>
      <c r="L13">
        <v>18.09</v>
      </c>
      <c r="M13">
        <v>20.65</v>
      </c>
      <c r="N13">
        <v>21.46</v>
      </c>
      <c r="O13">
        <v>21.47</v>
      </c>
      <c r="P13">
        <v>19.7</v>
      </c>
      <c r="Q13">
        <v>19.46</v>
      </c>
      <c r="S13">
        <f t="shared" si="4"/>
        <v>12</v>
      </c>
      <c r="T13">
        <v>17</v>
      </c>
      <c r="V13">
        <v>332</v>
      </c>
      <c r="W13">
        <f t="shared" si="5"/>
        <v>12</v>
      </c>
      <c r="X13">
        <f>SUMIF($T$2:$T$76,"=12",C$2:C$76)</f>
        <v>283.66000000000003</v>
      </c>
      <c r="Y13">
        <f t="shared" ref="Y13:AI13" si="15">SUMIF($T$2:$T$76,"=12",D$2:D$76)</f>
        <v>293.45</v>
      </c>
      <c r="Z13">
        <f t="shared" si="15"/>
        <v>283.56</v>
      </c>
      <c r="AA13">
        <f t="shared" si="15"/>
        <v>263.35000000000002</v>
      </c>
      <c r="AB13">
        <f t="shared" si="15"/>
        <v>253.68</v>
      </c>
      <c r="AC13">
        <f t="shared" si="15"/>
        <v>250.36</v>
      </c>
      <c r="AD13">
        <f t="shared" si="15"/>
        <v>250.6</v>
      </c>
      <c r="AE13">
        <f t="shared" si="15"/>
        <v>250.19</v>
      </c>
      <c r="AF13">
        <f t="shared" si="15"/>
        <v>217.93100000000001</v>
      </c>
      <c r="AG13">
        <f t="shared" si="15"/>
        <v>236.85100000000003</v>
      </c>
      <c r="AH13">
        <f t="shared" si="15"/>
        <v>276.36599999999999</v>
      </c>
      <c r="AI13">
        <f t="shared" si="15"/>
        <v>256.06799999999998</v>
      </c>
      <c r="AK13">
        <v>230.09849226724131</v>
      </c>
    </row>
    <row r="14" spans="2:44" x14ac:dyDescent="0.2">
      <c r="B14">
        <v>253.2</v>
      </c>
      <c r="C14">
        <v>250.2</v>
      </c>
      <c r="D14">
        <v>255.2</v>
      </c>
      <c r="E14">
        <v>244.5</v>
      </c>
      <c r="F14">
        <v>228.7</v>
      </c>
      <c r="G14">
        <v>221.1</v>
      </c>
      <c r="H14">
        <v>211.4</v>
      </c>
      <c r="I14">
        <v>232.6</v>
      </c>
      <c r="J14">
        <v>213.7</v>
      </c>
      <c r="K14">
        <v>184.4</v>
      </c>
      <c r="L14">
        <v>182.1</v>
      </c>
      <c r="M14">
        <v>174.7</v>
      </c>
      <c r="N14">
        <v>167.7</v>
      </c>
      <c r="O14">
        <v>165.5</v>
      </c>
      <c r="P14">
        <v>159.1</v>
      </c>
      <c r="Q14">
        <v>151</v>
      </c>
      <c r="S14">
        <f t="shared" si="4"/>
        <v>13</v>
      </c>
      <c r="T14">
        <v>10</v>
      </c>
      <c r="V14">
        <v>333</v>
      </c>
      <c r="W14">
        <f t="shared" si="5"/>
        <v>13</v>
      </c>
      <c r="X14">
        <f>SUMIF($T$2:$T$76,"=13",C$2:C$76)</f>
        <v>247.09899999999999</v>
      </c>
      <c r="Y14">
        <f t="shared" ref="Y14:AI14" si="16">SUMIF($T$2:$T$76,"=13",D$2:D$76)</f>
        <v>255.13899999999998</v>
      </c>
      <c r="Z14">
        <f t="shared" si="16"/>
        <v>258.476</v>
      </c>
      <c r="AA14">
        <f t="shared" si="16"/>
        <v>243.14600000000002</v>
      </c>
      <c r="AB14">
        <f t="shared" si="16"/>
        <v>228.28800000000001</v>
      </c>
      <c r="AC14">
        <f t="shared" si="16"/>
        <v>223.73699999999999</v>
      </c>
      <c r="AD14">
        <f t="shared" si="16"/>
        <v>215.28400000000002</v>
      </c>
      <c r="AE14">
        <f t="shared" si="16"/>
        <v>213.18200000000002</v>
      </c>
      <c r="AF14">
        <f t="shared" si="16"/>
        <v>182.148</v>
      </c>
      <c r="AG14">
        <f t="shared" si="16"/>
        <v>195.41500000000002</v>
      </c>
      <c r="AH14">
        <f t="shared" si="16"/>
        <v>190.36399999999998</v>
      </c>
      <c r="AI14">
        <f t="shared" si="16"/>
        <v>197.45000000000002</v>
      </c>
      <c r="AK14">
        <v>158.38153518831595</v>
      </c>
    </row>
    <row r="15" spans="2:44" x14ac:dyDescent="0.2">
      <c r="B15">
        <v>404.2</v>
      </c>
      <c r="C15">
        <v>432.7</v>
      </c>
      <c r="D15">
        <v>418.9</v>
      </c>
      <c r="E15">
        <v>411.4</v>
      </c>
      <c r="F15">
        <v>361.1</v>
      </c>
      <c r="G15">
        <v>354.7</v>
      </c>
      <c r="H15">
        <v>287.10000000000002</v>
      </c>
      <c r="I15">
        <v>289.39999999999998</v>
      </c>
      <c r="J15">
        <v>319</v>
      </c>
      <c r="K15">
        <v>298.39999999999998</v>
      </c>
      <c r="L15">
        <v>287.7</v>
      </c>
      <c r="M15">
        <v>284.60000000000002</v>
      </c>
      <c r="N15">
        <v>265.7</v>
      </c>
      <c r="O15">
        <v>253.1</v>
      </c>
      <c r="P15">
        <v>261.2</v>
      </c>
      <c r="Q15">
        <v>234.9</v>
      </c>
      <c r="S15">
        <f t="shared" si="4"/>
        <v>14</v>
      </c>
      <c r="T15">
        <v>10</v>
      </c>
      <c r="V15">
        <v>334</v>
      </c>
      <c r="W15">
        <f t="shared" si="5"/>
        <v>14</v>
      </c>
      <c r="X15">
        <f>SUMIF($T$2:$T$76,"=14",C$2:C$76)</f>
        <v>77.575000000000003</v>
      </c>
      <c r="Y15">
        <f t="shared" ref="Y15:AI15" si="17">SUMIF($T$2:$T$76,"=14",D$2:D$76)</f>
        <v>83.169999999999987</v>
      </c>
      <c r="Z15">
        <f t="shared" si="17"/>
        <v>78.070000000000007</v>
      </c>
      <c r="AA15">
        <f t="shared" si="17"/>
        <v>77.680000000000007</v>
      </c>
      <c r="AB15">
        <f t="shared" si="17"/>
        <v>74.3</v>
      </c>
      <c r="AC15">
        <f t="shared" si="17"/>
        <v>82.95</v>
      </c>
      <c r="AD15">
        <f t="shared" si="17"/>
        <v>84.31</v>
      </c>
      <c r="AE15">
        <f t="shared" si="17"/>
        <v>85.21</v>
      </c>
      <c r="AF15">
        <f t="shared" si="17"/>
        <v>82.199999999999989</v>
      </c>
      <c r="AG15">
        <f t="shared" si="17"/>
        <v>84.2</v>
      </c>
      <c r="AH15">
        <f t="shared" si="17"/>
        <v>82.79</v>
      </c>
      <c r="AI15">
        <f t="shared" si="17"/>
        <v>81.17</v>
      </c>
      <c r="AK15">
        <v>66.778319797568997</v>
      </c>
    </row>
    <row r="16" spans="2:44" x14ac:dyDescent="0.2">
      <c r="B16">
        <v>437.5</v>
      </c>
      <c r="C16">
        <v>438.9</v>
      </c>
      <c r="D16">
        <v>461</v>
      </c>
      <c r="E16">
        <v>467.9</v>
      </c>
      <c r="F16">
        <v>406.8</v>
      </c>
      <c r="G16">
        <v>374.9</v>
      </c>
      <c r="H16">
        <v>296</v>
      </c>
      <c r="I16">
        <v>345.2</v>
      </c>
      <c r="J16">
        <v>344.5</v>
      </c>
      <c r="K16">
        <v>317.7</v>
      </c>
      <c r="L16">
        <v>351.4</v>
      </c>
      <c r="M16">
        <v>339.7</v>
      </c>
      <c r="N16">
        <v>345.7</v>
      </c>
      <c r="O16">
        <v>336.2</v>
      </c>
      <c r="P16">
        <v>309.2</v>
      </c>
      <c r="Q16">
        <v>298.10000000000002</v>
      </c>
      <c r="S16">
        <f t="shared" si="4"/>
        <v>15</v>
      </c>
      <c r="T16">
        <v>10</v>
      </c>
      <c r="V16">
        <v>335</v>
      </c>
      <c r="W16">
        <f t="shared" si="5"/>
        <v>15</v>
      </c>
      <c r="X16">
        <f>SUMIF($T$2:$T$76,"=15",C$2:C$76)</f>
        <v>99.25</v>
      </c>
      <c r="Y16">
        <f t="shared" ref="Y16:AI16" si="18">SUMIF($T$2:$T$76,"=15",D$2:D$76)</f>
        <v>101.02999999999999</v>
      </c>
      <c r="Z16">
        <f t="shared" si="18"/>
        <v>101.43</v>
      </c>
      <c r="AA16">
        <f t="shared" si="18"/>
        <v>92.13000000000001</v>
      </c>
      <c r="AB16">
        <f t="shared" si="18"/>
        <v>87.58</v>
      </c>
      <c r="AC16">
        <f t="shared" si="18"/>
        <v>83.05</v>
      </c>
      <c r="AD16">
        <f t="shared" si="18"/>
        <v>87.07</v>
      </c>
      <c r="AE16">
        <f t="shared" si="18"/>
        <v>84.649999999999991</v>
      </c>
      <c r="AF16">
        <f t="shared" si="18"/>
        <v>74.39</v>
      </c>
      <c r="AG16">
        <f t="shared" si="18"/>
        <v>81.389999999999986</v>
      </c>
      <c r="AH16">
        <f t="shared" si="18"/>
        <v>81.5</v>
      </c>
      <c r="AI16">
        <f t="shared" si="18"/>
        <v>75.430000000000007</v>
      </c>
      <c r="AK16">
        <v>119.04896119590737</v>
      </c>
    </row>
    <row r="17" spans="2:43" x14ac:dyDescent="0.2">
      <c r="B17">
        <v>2850</v>
      </c>
      <c r="C17">
        <v>2713</v>
      </c>
      <c r="D17">
        <v>2907</v>
      </c>
      <c r="E17">
        <v>2883</v>
      </c>
      <c r="F17">
        <v>2295</v>
      </c>
      <c r="G17">
        <v>2312</v>
      </c>
      <c r="H17">
        <v>1492</v>
      </c>
      <c r="I17">
        <v>1629</v>
      </c>
      <c r="J17">
        <v>1661</v>
      </c>
      <c r="K17">
        <v>1539</v>
      </c>
      <c r="L17">
        <v>1315</v>
      </c>
      <c r="M17">
        <v>1223</v>
      </c>
      <c r="N17">
        <v>1328</v>
      </c>
      <c r="O17">
        <v>1372</v>
      </c>
      <c r="P17">
        <v>1360</v>
      </c>
      <c r="Q17">
        <v>1155</v>
      </c>
      <c r="S17">
        <f t="shared" si="4"/>
        <v>16</v>
      </c>
      <c r="T17">
        <v>11</v>
      </c>
      <c r="V17">
        <v>336</v>
      </c>
      <c r="W17">
        <f t="shared" si="5"/>
        <v>16</v>
      </c>
      <c r="X17">
        <f>SUMIF($T$2:$T$76,"=16",C$2:C$76)</f>
        <v>260.851</v>
      </c>
      <c r="Y17">
        <f t="shared" ref="Y17:AI17" si="19">SUMIF($T$2:$T$76,"=16",D$2:D$76)</f>
        <v>269.226</v>
      </c>
      <c r="Z17">
        <f t="shared" si="19"/>
        <v>254.18900000000002</v>
      </c>
      <c r="AA17">
        <f t="shared" si="19"/>
        <v>221.929</v>
      </c>
      <c r="AB17">
        <f t="shared" si="19"/>
        <v>209.749</v>
      </c>
      <c r="AC17">
        <f t="shared" si="19"/>
        <v>193.54599999999999</v>
      </c>
      <c r="AD17">
        <f t="shared" si="19"/>
        <v>216.91400000000002</v>
      </c>
      <c r="AE17">
        <f t="shared" si="19"/>
        <v>215.75500000000002</v>
      </c>
      <c r="AF17">
        <f t="shared" si="19"/>
        <v>197.74600000000001</v>
      </c>
      <c r="AG17">
        <f t="shared" si="19"/>
        <v>208.619</v>
      </c>
      <c r="AH17">
        <f t="shared" si="19"/>
        <v>207.78199999999998</v>
      </c>
      <c r="AI17">
        <f t="shared" si="19"/>
        <v>219.596</v>
      </c>
      <c r="AK17">
        <v>208.74628532243858</v>
      </c>
      <c r="AQ17">
        <f>33482*3.412*0.001</f>
        <v>114.240584</v>
      </c>
    </row>
    <row r="18" spans="2:43" x14ac:dyDescent="0.2">
      <c r="B18">
        <v>133.4</v>
      </c>
      <c r="C18">
        <v>151</v>
      </c>
      <c r="D18">
        <v>162.4</v>
      </c>
      <c r="E18">
        <v>156.9</v>
      </c>
      <c r="F18">
        <v>135.6</v>
      </c>
      <c r="G18">
        <v>134.30000000000001</v>
      </c>
      <c r="H18">
        <v>99.03</v>
      </c>
      <c r="I18">
        <v>120.1</v>
      </c>
      <c r="J18">
        <v>120.3</v>
      </c>
      <c r="K18">
        <v>105.9</v>
      </c>
      <c r="L18">
        <v>101.8</v>
      </c>
      <c r="M18">
        <v>103.3</v>
      </c>
      <c r="N18">
        <v>110.7</v>
      </c>
      <c r="O18">
        <v>107</v>
      </c>
      <c r="P18">
        <v>98.54</v>
      </c>
      <c r="Q18">
        <v>92.51</v>
      </c>
      <c r="S18">
        <f t="shared" si="4"/>
        <v>17</v>
      </c>
      <c r="T18">
        <v>11</v>
      </c>
      <c r="V18">
        <v>337</v>
      </c>
      <c r="W18">
        <f t="shared" si="5"/>
        <v>17</v>
      </c>
      <c r="X18">
        <f>SUMIF($T$2:$T$76,"=17",C$2:C$76)</f>
        <v>35.97</v>
      </c>
      <c r="Y18">
        <f t="shared" ref="Y18:AI18" si="20">SUMIF($T$2:$T$76,"=17",D$2:D$76)</f>
        <v>37.739999999999995</v>
      </c>
      <c r="Z18">
        <f t="shared" si="20"/>
        <v>35.5</v>
      </c>
      <c r="AA18">
        <f t="shared" si="20"/>
        <v>32.049999999999997</v>
      </c>
      <c r="AB18">
        <f t="shared" si="20"/>
        <v>29.42</v>
      </c>
      <c r="AC18">
        <f t="shared" si="20"/>
        <v>27.560000000000002</v>
      </c>
      <c r="AD18">
        <f t="shared" si="20"/>
        <v>28.32</v>
      </c>
      <c r="AE18">
        <f t="shared" si="20"/>
        <v>29.990000000000002</v>
      </c>
      <c r="AF18">
        <f t="shared" si="20"/>
        <v>28.04</v>
      </c>
      <c r="AG18">
        <f t="shared" si="20"/>
        <v>31.92</v>
      </c>
      <c r="AH18">
        <f t="shared" si="20"/>
        <v>34.92</v>
      </c>
      <c r="AI18">
        <f t="shared" si="20"/>
        <v>37.69</v>
      </c>
      <c r="AK18">
        <v>42.052572949250447</v>
      </c>
    </row>
    <row r="19" spans="2:43" x14ac:dyDescent="0.2">
      <c r="B19">
        <v>105.6</v>
      </c>
      <c r="C19">
        <v>112.1</v>
      </c>
      <c r="D19">
        <v>100</v>
      </c>
      <c r="E19">
        <v>144.5</v>
      </c>
      <c r="F19">
        <v>143.5</v>
      </c>
      <c r="G19">
        <v>78.09</v>
      </c>
      <c r="H19">
        <v>56.33</v>
      </c>
      <c r="I19">
        <v>42.08</v>
      </c>
      <c r="J19">
        <v>48.39</v>
      </c>
      <c r="K19">
        <v>29.11</v>
      </c>
      <c r="L19">
        <v>21.26</v>
      </c>
      <c r="M19">
        <v>18.73</v>
      </c>
      <c r="N19">
        <v>20.02</v>
      </c>
      <c r="O19">
        <v>20.2</v>
      </c>
      <c r="P19">
        <v>18.920000000000002</v>
      </c>
      <c r="Q19">
        <v>17.38</v>
      </c>
      <c r="S19">
        <f t="shared" si="4"/>
        <v>18</v>
      </c>
      <c r="T19">
        <v>11</v>
      </c>
      <c r="V19">
        <v>339</v>
      </c>
      <c r="W19">
        <f t="shared" si="5"/>
        <v>18</v>
      </c>
      <c r="X19">
        <f>SUMIF($T$2:$T$76,"=18",C$2:C$76)</f>
        <v>30.71</v>
      </c>
      <c r="Y19">
        <f t="shared" ref="Y19:AI19" si="21">SUMIF($T$2:$T$76,"=18",D$2:D$76)</f>
        <v>32.17</v>
      </c>
      <c r="Z19">
        <f t="shared" si="21"/>
        <v>30.94</v>
      </c>
      <c r="AA19">
        <f t="shared" si="21"/>
        <v>29.08</v>
      </c>
      <c r="AB19">
        <f t="shared" si="21"/>
        <v>26.72</v>
      </c>
      <c r="AC19">
        <f t="shared" si="21"/>
        <v>22.98</v>
      </c>
      <c r="AD19">
        <f t="shared" si="21"/>
        <v>24.81</v>
      </c>
      <c r="AE19">
        <f t="shared" si="21"/>
        <v>24.38</v>
      </c>
      <c r="AF19">
        <f t="shared" si="21"/>
        <v>20.68</v>
      </c>
      <c r="AG19">
        <f t="shared" si="21"/>
        <v>23.64</v>
      </c>
      <c r="AH19">
        <f t="shared" si="21"/>
        <v>26.88</v>
      </c>
      <c r="AI19">
        <f t="shared" si="21"/>
        <v>28.59</v>
      </c>
      <c r="AK19">
        <v>26.111188858357355</v>
      </c>
    </row>
    <row r="20" spans="2:43" x14ac:dyDescent="0.2">
      <c r="B20">
        <v>311.5</v>
      </c>
      <c r="C20">
        <v>317.60000000000002</v>
      </c>
      <c r="D20">
        <v>321.5</v>
      </c>
      <c r="E20">
        <v>296.60000000000002</v>
      </c>
      <c r="F20">
        <v>264.7</v>
      </c>
      <c r="G20">
        <v>267.10000000000002</v>
      </c>
      <c r="H20">
        <v>240.7</v>
      </c>
      <c r="I20">
        <v>262.2</v>
      </c>
      <c r="J20">
        <v>245.2</v>
      </c>
      <c r="K20">
        <v>207.4</v>
      </c>
      <c r="L20">
        <v>200.3</v>
      </c>
      <c r="M20">
        <v>192.6</v>
      </c>
      <c r="N20">
        <v>196.1</v>
      </c>
      <c r="O20">
        <v>198</v>
      </c>
      <c r="P20">
        <v>193.7</v>
      </c>
      <c r="Q20">
        <v>188.5</v>
      </c>
      <c r="S20">
        <f t="shared" si="4"/>
        <v>19</v>
      </c>
      <c r="T20">
        <v>11</v>
      </c>
    </row>
    <row r="21" spans="2:43" x14ac:dyDescent="0.2">
      <c r="B21">
        <v>15.11</v>
      </c>
      <c r="C21">
        <v>13.86</v>
      </c>
      <c r="D21">
        <v>14.29</v>
      </c>
      <c r="E21">
        <v>14.37</v>
      </c>
      <c r="F21">
        <v>13.23</v>
      </c>
      <c r="G21">
        <v>11.64</v>
      </c>
      <c r="H21">
        <v>16.16</v>
      </c>
      <c r="I21">
        <v>15.81</v>
      </c>
      <c r="J21">
        <v>16.77</v>
      </c>
      <c r="K21">
        <v>11.61</v>
      </c>
      <c r="L21">
        <v>12.39</v>
      </c>
      <c r="M21">
        <v>15.58</v>
      </c>
      <c r="N21">
        <v>15.35</v>
      </c>
      <c r="O21">
        <v>13.49</v>
      </c>
      <c r="P21">
        <v>11.86</v>
      </c>
      <c r="Q21">
        <v>11.89</v>
      </c>
      <c r="S21">
        <f t="shared" si="4"/>
        <v>20</v>
      </c>
      <c r="T21">
        <v>12</v>
      </c>
      <c r="AK21" s="5">
        <f>SUM(AK2:AK19)</f>
        <v>12456.762435518212</v>
      </c>
    </row>
    <row r="22" spans="2:43" x14ac:dyDescent="0.2">
      <c r="B22">
        <v>47.62</v>
      </c>
      <c r="C22">
        <v>46.89</v>
      </c>
      <c r="D22">
        <v>48.52</v>
      </c>
      <c r="E22">
        <v>47.5</v>
      </c>
      <c r="F22">
        <v>42.99</v>
      </c>
      <c r="G22">
        <v>41.83</v>
      </c>
      <c r="H22">
        <v>31.59</v>
      </c>
      <c r="I22">
        <v>28.38</v>
      </c>
      <c r="J22">
        <v>31.31</v>
      </c>
      <c r="K22">
        <v>26.01</v>
      </c>
      <c r="L22">
        <v>25.14</v>
      </c>
      <c r="M22">
        <v>27.04</v>
      </c>
      <c r="N22">
        <v>26.76</v>
      </c>
      <c r="O22">
        <v>26.8</v>
      </c>
      <c r="P22">
        <v>27.89</v>
      </c>
      <c r="Q22">
        <v>25.6</v>
      </c>
      <c r="S22">
        <f t="shared" si="4"/>
        <v>21</v>
      </c>
      <c r="T22">
        <v>12</v>
      </c>
      <c r="V22" t="s">
        <v>24</v>
      </c>
      <c r="AK22" s="5">
        <f>SUM(AK13:AK19)</f>
        <v>851.21735557907994</v>
      </c>
    </row>
    <row r="23" spans="2:43" x14ac:dyDescent="0.2">
      <c r="B23">
        <v>27.91</v>
      </c>
      <c r="C23">
        <v>27.63</v>
      </c>
      <c r="D23">
        <v>27.47</v>
      </c>
      <c r="E23">
        <v>25.72</v>
      </c>
      <c r="F23">
        <v>24.55</v>
      </c>
      <c r="G23">
        <v>22.76</v>
      </c>
      <c r="H23">
        <v>21.92</v>
      </c>
      <c r="I23">
        <v>22.14</v>
      </c>
      <c r="J23">
        <v>20.66</v>
      </c>
      <c r="K23">
        <v>17.88</v>
      </c>
      <c r="L23">
        <v>19.54</v>
      </c>
      <c r="M23">
        <v>19.89</v>
      </c>
      <c r="N23">
        <v>18.690000000000001</v>
      </c>
      <c r="O23">
        <v>18.809999999999999</v>
      </c>
      <c r="P23">
        <v>18.149999999999999</v>
      </c>
      <c r="Q23">
        <v>18.739999999999998</v>
      </c>
      <c r="S23">
        <f t="shared" si="4"/>
        <v>22</v>
      </c>
      <c r="T23">
        <v>12</v>
      </c>
    </row>
    <row r="24" spans="2:43" x14ac:dyDescent="0.2">
      <c r="B24">
        <v>57.89</v>
      </c>
      <c r="C24">
        <v>55.89</v>
      </c>
      <c r="D24">
        <v>58.91</v>
      </c>
      <c r="E24">
        <v>60.07</v>
      </c>
      <c r="F24">
        <v>56.99</v>
      </c>
      <c r="G24">
        <v>52.27</v>
      </c>
      <c r="H24">
        <v>53.81</v>
      </c>
      <c r="I24">
        <v>52.61</v>
      </c>
      <c r="J24">
        <v>49.23</v>
      </c>
      <c r="K24">
        <v>43.81</v>
      </c>
      <c r="L24">
        <v>48.63</v>
      </c>
      <c r="M24">
        <v>51.63</v>
      </c>
      <c r="N24">
        <v>52.75</v>
      </c>
      <c r="O24">
        <v>53.62</v>
      </c>
      <c r="P24">
        <v>48.32</v>
      </c>
      <c r="Q24">
        <v>49.51</v>
      </c>
      <c r="S24">
        <f t="shared" si="4"/>
        <v>23</v>
      </c>
      <c r="T24">
        <v>12</v>
      </c>
    </row>
    <row r="25" spans="2:43" x14ac:dyDescent="0.2">
      <c r="B25">
        <v>14.33</v>
      </c>
      <c r="C25">
        <v>15.05</v>
      </c>
      <c r="D25">
        <v>15.82</v>
      </c>
      <c r="E25">
        <v>15.47</v>
      </c>
      <c r="F25">
        <v>13.96</v>
      </c>
      <c r="G25">
        <v>12.89</v>
      </c>
      <c r="H25">
        <v>11.27</v>
      </c>
      <c r="I25">
        <v>11.64</v>
      </c>
      <c r="J25">
        <v>11.41</v>
      </c>
      <c r="K25">
        <v>9.3309999999999995</v>
      </c>
      <c r="L25">
        <v>9.4710000000000001</v>
      </c>
      <c r="M25">
        <v>9.7460000000000004</v>
      </c>
      <c r="N25">
        <v>9.9480000000000004</v>
      </c>
      <c r="O25">
        <v>10</v>
      </c>
      <c r="P25">
        <v>9.8879999999999999</v>
      </c>
      <c r="Q25">
        <v>9.99</v>
      </c>
      <c r="S25">
        <f t="shared" si="4"/>
        <v>24</v>
      </c>
      <c r="T25">
        <v>12</v>
      </c>
      <c r="V25" s="2" t="s">
        <v>12</v>
      </c>
      <c r="W25">
        <v>1</v>
      </c>
      <c r="X25">
        <f>X2</f>
        <v>803.34</v>
      </c>
      <c r="Y25">
        <f t="shared" ref="Y25:AE25" si="22">Y2</f>
        <v>826.99</v>
      </c>
      <c r="Z25">
        <f t="shared" si="22"/>
        <v>798.23</v>
      </c>
      <c r="AA25">
        <f t="shared" si="22"/>
        <v>793.88</v>
      </c>
      <c r="AB25">
        <f t="shared" si="22"/>
        <v>750.42000000000007</v>
      </c>
      <c r="AC25">
        <f t="shared" si="22"/>
        <v>767.66000000000008</v>
      </c>
      <c r="AD25">
        <f t="shared" si="22"/>
        <v>797.26</v>
      </c>
      <c r="AE25">
        <f t="shared" si="22"/>
        <v>791.18999999999994</v>
      </c>
      <c r="AF25" s="6">
        <f>'ASM2'!AG23</f>
        <v>159.61404240000002</v>
      </c>
      <c r="AG25" s="6">
        <f>'ASM2'!AH23</f>
        <v>162.34671320000001</v>
      </c>
      <c r="AH25" s="6">
        <f>'ASM2'!AI23</f>
        <v>175.813536</v>
      </c>
      <c r="AI25" s="6"/>
    </row>
    <row r="26" spans="2:43" x14ac:dyDescent="0.2">
      <c r="B26">
        <v>31.51</v>
      </c>
      <c r="C26">
        <v>33.86</v>
      </c>
      <c r="D26">
        <v>33.799999999999997</v>
      </c>
      <c r="E26">
        <v>31.85</v>
      </c>
      <c r="F26">
        <v>29.66</v>
      </c>
      <c r="G26">
        <v>27.59</v>
      </c>
      <c r="H26">
        <v>30.21</v>
      </c>
      <c r="I26">
        <v>32.96</v>
      </c>
      <c r="J26">
        <v>30.27</v>
      </c>
      <c r="K26">
        <v>27.66</v>
      </c>
      <c r="L26">
        <v>31.78</v>
      </c>
      <c r="M26">
        <v>60.48</v>
      </c>
      <c r="N26">
        <v>31.47</v>
      </c>
      <c r="O26">
        <v>32.799999999999997</v>
      </c>
      <c r="P26">
        <v>29.95</v>
      </c>
      <c r="Q26">
        <v>30.82</v>
      </c>
      <c r="S26">
        <f t="shared" si="4"/>
        <v>25</v>
      </c>
      <c r="T26">
        <v>12</v>
      </c>
      <c r="V26" s="2" t="s">
        <v>13</v>
      </c>
      <c r="W26">
        <f>W25+1</f>
        <v>2</v>
      </c>
      <c r="X26">
        <f t="shared" ref="X26:AE41" si="23">X3</f>
        <v>243.11000000000004</v>
      </c>
      <c r="Y26">
        <f t="shared" si="23"/>
        <v>238.7</v>
      </c>
      <c r="Z26">
        <f t="shared" si="23"/>
        <v>225.95999999999998</v>
      </c>
      <c r="AA26">
        <f t="shared" si="23"/>
        <v>208.69300000000001</v>
      </c>
      <c r="AB26">
        <f t="shared" si="23"/>
        <v>203.92000000000002</v>
      </c>
      <c r="AC26">
        <f t="shared" si="23"/>
        <v>180.42699999999999</v>
      </c>
      <c r="AD26">
        <f t="shared" si="23"/>
        <v>202.04899999999998</v>
      </c>
      <c r="AE26">
        <f t="shared" si="23"/>
        <v>198.88</v>
      </c>
      <c r="AF26" s="6">
        <f>'ASM2'!AG24</f>
        <v>91.731961199999986</v>
      </c>
      <c r="AG26" s="6">
        <f>'ASM2'!AH24</f>
        <v>94.829033600000017</v>
      </c>
      <c r="AH26" s="6">
        <f>'ASM2'!AI24</f>
        <v>106.82596680000002</v>
      </c>
      <c r="AI26" s="6"/>
    </row>
    <row r="27" spans="2:43" x14ac:dyDescent="0.2">
      <c r="B27">
        <v>89.53</v>
      </c>
      <c r="C27">
        <v>90.48</v>
      </c>
      <c r="D27">
        <v>94.64</v>
      </c>
      <c r="E27">
        <v>88.58</v>
      </c>
      <c r="F27">
        <v>81.97</v>
      </c>
      <c r="G27">
        <v>84.7</v>
      </c>
      <c r="H27">
        <v>85.4</v>
      </c>
      <c r="I27">
        <v>87.06</v>
      </c>
      <c r="J27">
        <v>90.54</v>
      </c>
      <c r="K27">
        <v>81.63</v>
      </c>
      <c r="L27">
        <v>89.9</v>
      </c>
      <c r="M27">
        <v>92</v>
      </c>
      <c r="N27">
        <v>101.1</v>
      </c>
      <c r="O27">
        <v>99.25</v>
      </c>
      <c r="P27">
        <v>91.58</v>
      </c>
      <c r="Q27">
        <v>93.09</v>
      </c>
      <c r="S27">
        <f t="shared" si="4"/>
        <v>26</v>
      </c>
      <c r="T27">
        <v>12</v>
      </c>
      <c r="V27" s="2" t="s">
        <v>14</v>
      </c>
      <c r="W27">
        <f t="shared" ref="W27:W42" si="24">W26+1</f>
        <v>3</v>
      </c>
      <c r="X27">
        <f t="shared" si="23"/>
        <v>44.046999999999997</v>
      </c>
      <c r="Y27">
        <f t="shared" si="23"/>
        <v>45.828000000000003</v>
      </c>
      <c r="Z27">
        <f t="shared" si="23"/>
        <v>41.186</v>
      </c>
      <c r="AA27">
        <f t="shared" si="23"/>
        <v>40.207000000000008</v>
      </c>
      <c r="AB27">
        <f t="shared" si="23"/>
        <v>40.092999999999996</v>
      </c>
      <c r="AC27">
        <f t="shared" si="23"/>
        <v>32.198999999999998</v>
      </c>
      <c r="AD27">
        <f t="shared" si="23"/>
        <v>35.008000000000003</v>
      </c>
      <c r="AE27">
        <f t="shared" si="23"/>
        <v>30.838999999999999</v>
      </c>
      <c r="AF27" s="6">
        <f>'ASM2'!AG25</f>
        <v>19.829520399999996</v>
      </c>
      <c r="AG27" s="6">
        <f>'ASM2'!AH25</f>
        <v>20.001826399999999</v>
      </c>
      <c r="AH27" s="6">
        <f>'ASM2'!AI25</f>
        <v>20.253290799999998</v>
      </c>
      <c r="AI27" s="6"/>
    </row>
    <row r="28" spans="2:43" x14ac:dyDescent="0.2">
      <c r="B28">
        <v>21.45</v>
      </c>
      <c r="C28">
        <v>21.21</v>
      </c>
      <c r="D28">
        <v>23.14</v>
      </c>
      <c r="E28">
        <v>22.59</v>
      </c>
      <c r="F28">
        <v>21.46</v>
      </c>
      <c r="G28">
        <v>19.64</v>
      </c>
      <c r="H28">
        <v>18.18</v>
      </c>
      <c r="I28">
        <v>17.98</v>
      </c>
      <c r="J28">
        <v>15.58</v>
      </c>
      <c r="K28">
        <v>13.21</v>
      </c>
      <c r="L28">
        <v>14.39</v>
      </c>
      <c r="M28">
        <v>12.5</v>
      </c>
      <c r="N28">
        <v>12.25</v>
      </c>
      <c r="O28">
        <v>11.97</v>
      </c>
      <c r="P28">
        <v>10.01</v>
      </c>
      <c r="Q28">
        <v>9.83</v>
      </c>
      <c r="S28">
        <f t="shared" si="4"/>
        <v>27</v>
      </c>
      <c r="T28">
        <v>13</v>
      </c>
      <c r="V28">
        <v>321</v>
      </c>
      <c r="W28">
        <f t="shared" si="24"/>
        <v>4</v>
      </c>
      <c r="X28">
        <f t="shared" si="23"/>
        <v>124.69000000000001</v>
      </c>
      <c r="Y28">
        <f t="shared" si="23"/>
        <v>135.23699999999999</v>
      </c>
      <c r="Z28">
        <f t="shared" si="23"/>
        <v>132.91400000000002</v>
      </c>
      <c r="AA28">
        <f t="shared" si="23"/>
        <v>109.61</v>
      </c>
      <c r="AB28">
        <f t="shared" si="23"/>
        <v>92.135999999999996</v>
      </c>
      <c r="AC28">
        <f t="shared" si="23"/>
        <v>69.281000000000006</v>
      </c>
      <c r="AD28">
        <f t="shared" si="23"/>
        <v>73.831000000000003</v>
      </c>
      <c r="AE28">
        <f t="shared" si="23"/>
        <v>72.606999999999999</v>
      </c>
      <c r="AF28" s="6">
        <f>'ASM2'!AG26</f>
        <v>57.203885999999997</v>
      </c>
      <c r="AG28" s="6">
        <f>'ASM2'!AH26</f>
        <v>60.595755200000006</v>
      </c>
      <c r="AH28" s="6">
        <f>'ASM2'!AI26</f>
        <v>70.843356</v>
      </c>
      <c r="AI28" s="6"/>
    </row>
    <row r="29" spans="2:43" x14ac:dyDescent="0.2">
      <c r="B29">
        <v>28.53</v>
      </c>
      <c r="C29">
        <v>29.62</v>
      </c>
      <c r="D29">
        <v>27.4</v>
      </c>
      <c r="E29">
        <v>29.02</v>
      </c>
      <c r="F29">
        <v>25.16</v>
      </c>
      <c r="G29">
        <v>23.21</v>
      </c>
      <c r="H29">
        <v>22.81</v>
      </c>
      <c r="I29">
        <v>20.18</v>
      </c>
      <c r="J29">
        <v>19.149999999999999</v>
      </c>
      <c r="K29">
        <v>15.59</v>
      </c>
      <c r="L29">
        <v>14.64</v>
      </c>
      <c r="M29">
        <v>13.84</v>
      </c>
      <c r="N29">
        <v>14.98</v>
      </c>
      <c r="O29">
        <v>15.48</v>
      </c>
      <c r="P29">
        <v>15.25</v>
      </c>
      <c r="Q29">
        <v>15.23</v>
      </c>
      <c r="S29">
        <f t="shared" si="4"/>
        <v>28</v>
      </c>
      <c r="T29">
        <v>13</v>
      </c>
      <c r="V29">
        <v>322</v>
      </c>
      <c r="W29">
        <f t="shared" si="24"/>
        <v>5</v>
      </c>
      <c r="X29">
        <f t="shared" si="23"/>
        <v>1128.6999999999998</v>
      </c>
      <c r="Y29">
        <f t="shared" si="23"/>
        <v>1098.1699999999998</v>
      </c>
      <c r="Z29">
        <f t="shared" si="23"/>
        <v>1090.3700000000001</v>
      </c>
      <c r="AA29">
        <f t="shared" si="23"/>
        <v>1050.3400000000001</v>
      </c>
      <c r="AB29">
        <f t="shared" si="23"/>
        <v>997.98</v>
      </c>
      <c r="AC29">
        <f t="shared" si="23"/>
        <v>952.51</v>
      </c>
      <c r="AD29">
        <f t="shared" si="23"/>
        <v>1034.43</v>
      </c>
      <c r="AE29">
        <f t="shared" si="23"/>
        <v>1047.83</v>
      </c>
      <c r="AF29" s="6">
        <f>'ASM2'!AG27</f>
        <v>178.95667040000001</v>
      </c>
      <c r="AG29" s="6">
        <f>'ASM2'!AH27</f>
        <v>198.8902568</v>
      </c>
      <c r="AH29" s="6">
        <f>'ASM2'!AI27</f>
        <v>202.15315239999998</v>
      </c>
      <c r="AI29" s="6"/>
    </row>
    <row r="30" spans="2:43" x14ac:dyDescent="0.2">
      <c r="B30">
        <v>40.21</v>
      </c>
      <c r="C30">
        <v>39.83</v>
      </c>
      <c r="D30">
        <v>43.97</v>
      </c>
      <c r="E30">
        <v>44.61</v>
      </c>
      <c r="F30">
        <v>39.630000000000003</v>
      </c>
      <c r="G30">
        <v>40.630000000000003</v>
      </c>
      <c r="H30">
        <v>39</v>
      </c>
      <c r="I30">
        <v>30.43</v>
      </c>
      <c r="J30">
        <v>29.22</v>
      </c>
      <c r="K30">
        <v>24.69</v>
      </c>
      <c r="L30">
        <v>23.86</v>
      </c>
      <c r="M30">
        <v>19.79</v>
      </c>
      <c r="N30">
        <v>20.63</v>
      </c>
      <c r="O30">
        <v>20.99</v>
      </c>
      <c r="P30">
        <v>21.03</v>
      </c>
      <c r="Q30">
        <v>21.2</v>
      </c>
      <c r="S30">
        <f t="shared" si="4"/>
        <v>29</v>
      </c>
      <c r="T30">
        <v>13</v>
      </c>
      <c r="V30">
        <v>323</v>
      </c>
      <c r="W30">
        <f t="shared" si="24"/>
        <v>6</v>
      </c>
      <c r="X30">
        <f t="shared" si="23"/>
        <v>46.49</v>
      </c>
      <c r="Y30">
        <f t="shared" si="23"/>
        <v>46.76</v>
      </c>
      <c r="Z30">
        <f t="shared" si="23"/>
        <v>51.27</v>
      </c>
      <c r="AA30">
        <f t="shared" si="23"/>
        <v>49.94</v>
      </c>
      <c r="AB30">
        <f t="shared" si="23"/>
        <v>49.95</v>
      </c>
      <c r="AC30">
        <f t="shared" si="23"/>
        <v>52.48</v>
      </c>
      <c r="AD30">
        <f t="shared" si="23"/>
        <v>55.15</v>
      </c>
      <c r="AE30">
        <f t="shared" si="23"/>
        <v>60.21</v>
      </c>
      <c r="AF30" s="6">
        <f>'ASM2'!AG28</f>
        <v>42.249089999999995</v>
      </c>
      <c r="AG30" s="6">
        <f>'ASM2'!AH28</f>
        <v>45.046247599999994</v>
      </c>
      <c r="AH30" s="6">
        <f>'ASM2'!AI28</f>
        <v>51.207466600000004</v>
      </c>
      <c r="AI30" s="6"/>
    </row>
    <row r="31" spans="2:43" x14ac:dyDescent="0.2">
      <c r="B31">
        <v>7.6310000000000002</v>
      </c>
      <c r="C31">
        <v>8.0690000000000008</v>
      </c>
      <c r="D31">
        <v>8.6590000000000007</v>
      </c>
      <c r="E31">
        <v>9.2059999999999995</v>
      </c>
      <c r="F31">
        <v>8.1560000000000006</v>
      </c>
      <c r="G31">
        <v>6.9580000000000002</v>
      </c>
      <c r="H31">
        <v>6.6769999999999996</v>
      </c>
      <c r="I31">
        <v>6.5039999999999996</v>
      </c>
      <c r="J31">
        <v>6.0919999999999996</v>
      </c>
      <c r="K31">
        <v>5.798</v>
      </c>
      <c r="L31">
        <v>6.5350000000000001</v>
      </c>
      <c r="M31">
        <v>5.8440000000000003</v>
      </c>
      <c r="N31">
        <v>5.86</v>
      </c>
      <c r="O31">
        <v>5.66</v>
      </c>
      <c r="P31">
        <v>5.2889999999999997</v>
      </c>
      <c r="Q31">
        <v>5.1059999999999999</v>
      </c>
      <c r="S31">
        <f t="shared" si="4"/>
        <v>30</v>
      </c>
      <c r="T31">
        <v>13</v>
      </c>
      <c r="V31">
        <v>324</v>
      </c>
      <c r="W31">
        <f t="shared" si="24"/>
        <v>7</v>
      </c>
      <c r="X31">
        <f t="shared" si="23"/>
        <v>2933.33</v>
      </c>
      <c r="Y31">
        <f t="shared" si="23"/>
        <v>2924.21</v>
      </c>
      <c r="Z31">
        <f t="shared" si="23"/>
        <v>2873.53</v>
      </c>
      <c r="AA31">
        <f t="shared" si="23"/>
        <v>2760.21</v>
      </c>
      <c r="AB31">
        <f t="shared" si="23"/>
        <v>2321.84</v>
      </c>
      <c r="AC31">
        <f t="shared" si="23"/>
        <v>2302.92</v>
      </c>
      <c r="AD31">
        <f t="shared" si="23"/>
        <v>2329.9850000000001</v>
      </c>
      <c r="AE31">
        <f t="shared" si="23"/>
        <v>2351.4549999999999</v>
      </c>
      <c r="AF31" s="6">
        <f>'ASM2'!AG29</f>
        <v>119.877208</v>
      </c>
      <c r="AG31" s="6">
        <f>'ASM2'!AH29</f>
        <v>126.45008479999998</v>
      </c>
      <c r="AH31" s="6">
        <f>'ASM2'!AI29</f>
        <v>114.11706960000001</v>
      </c>
      <c r="AI31" s="6"/>
    </row>
    <row r="32" spans="2:43" x14ac:dyDescent="0.2">
      <c r="B32">
        <v>24.29</v>
      </c>
      <c r="C32">
        <v>23.55</v>
      </c>
      <c r="D32">
        <v>24.35</v>
      </c>
      <c r="E32">
        <v>22.48</v>
      </c>
      <c r="F32">
        <v>23.71</v>
      </c>
      <c r="G32">
        <v>19.690000000000001</v>
      </c>
      <c r="H32">
        <v>18.66</v>
      </c>
      <c r="I32">
        <v>18.07</v>
      </c>
      <c r="J32">
        <v>17.28</v>
      </c>
      <c r="K32">
        <v>15.11</v>
      </c>
      <c r="L32">
        <v>17.920000000000002</v>
      </c>
      <c r="M32">
        <v>18.89</v>
      </c>
      <c r="N32">
        <v>20.23</v>
      </c>
      <c r="O32">
        <v>22.21</v>
      </c>
      <c r="P32">
        <v>20.45</v>
      </c>
      <c r="Q32">
        <v>19.7</v>
      </c>
      <c r="S32">
        <f t="shared" si="4"/>
        <v>31</v>
      </c>
      <c r="T32">
        <v>13</v>
      </c>
      <c r="V32">
        <v>325</v>
      </c>
      <c r="W32">
        <f t="shared" si="24"/>
        <v>8</v>
      </c>
      <c r="X32">
        <f t="shared" si="23"/>
        <v>2323.027</v>
      </c>
      <c r="Y32">
        <f t="shared" si="23"/>
        <v>2225.9299999999998</v>
      </c>
      <c r="Z32">
        <f t="shared" si="23"/>
        <v>2242.42</v>
      </c>
      <c r="AA32">
        <f t="shared" si="23"/>
        <v>2107.81</v>
      </c>
      <c r="AB32">
        <f t="shared" si="23"/>
        <v>2046.8300000000002</v>
      </c>
      <c r="AC32">
        <f t="shared" si="23"/>
        <v>1832.7950000000001</v>
      </c>
      <c r="AD32">
        <f t="shared" si="23"/>
        <v>1899.9400000000003</v>
      </c>
      <c r="AE32">
        <f t="shared" si="23"/>
        <v>1975.94</v>
      </c>
      <c r="AF32" s="6">
        <f>'ASM2'!AG30</f>
        <v>429.44284999999991</v>
      </c>
      <c r="AG32" s="6">
        <f>'ASM2'!AH30</f>
        <v>408.37272640000003</v>
      </c>
      <c r="AH32" s="6">
        <f>'ASM2'!AI30</f>
        <v>424.05530199999998</v>
      </c>
      <c r="AI32" s="6"/>
    </row>
    <row r="33" spans="2:45" x14ac:dyDescent="0.2">
      <c r="B33">
        <v>16.059999999999999</v>
      </c>
      <c r="C33">
        <v>14.41</v>
      </c>
      <c r="D33">
        <v>14.91</v>
      </c>
      <c r="E33">
        <v>12.91</v>
      </c>
      <c r="F33">
        <v>12.04</v>
      </c>
      <c r="G33">
        <v>13.69</v>
      </c>
      <c r="H33">
        <v>15.87</v>
      </c>
      <c r="I33">
        <v>14.38</v>
      </c>
      <c r="J33">
        <v>15.42</v>
      </c>
      <c r="K33">
        <v>14.13</v>
      </c>
      <c r="L33">
        <v>17.010000000000002</v>
      </c>
      <c r="M33">
        <v>14.94</v>
      </c>
      <c r="N33">
        <v>15.64</v>
      </c>
      <c r="O33">
        <v>14.96</v>
      </c>
      <c r="P33">
        <v>13.75</v>
      </c>
      <c r="Q33">
        <v>15.78</v>
      </c>
      <c r="S33">
        <f t="shared" si="4"/>
        <v>32</v>
      </c>
      <c r="T33">
        <v>13</v>
      </c>
      <c r="V33">
        <v>326</v>
      </c>
      <c r="W33">
        <f t="shared" si="24"/>
        <v>9</v>
      </c>
      <c r="X33">
        <f t="shared" si="23"/>
        <v>189.1</v>
      </c>
      <c r="Y33">
        <f t="shared" si="23"/>
        <v>177.2</v>
      </c>
      <c r="Z33">
        <f t="shared" si="23"/>
        <v>164.9</v>
      </c>
      <c r="AA33">
        <f t="shared" si="23"/>
        <v>143.9</v>
      </c>
      <c r="AB33">
        <f t="shared" si="23"/>
        <v>138.6</v>
      </c>
      <c r="AC33">
        <f t="shared" si="23"/>
        <v>131.69999999999999</v>
      </c>
      <c r="AD33">
        <f t="shared" si="23"/>
        <v>139.1</v>
      </c>
      <c r="AE33">
        <f t="shared" si="23"/>
        <v>140.80000000000001</v>
      </c>
      <c r="AF33" s="6">
        <f>'ASM2'!AG31</f>
        <v>102.70972999999999</v>
      </c>
      <c r="AG33" s="6">
        <f>'ASM2'!AH31</f>
        <v>106.52741680000001</v>
      </c>
      <c r="AH33" s="6">
        <f>'ASM2'!AI31</f>
        <v>112.86896</v>
      </c>
      <c r="AI33" s="6"/>
    </row>
    <row r="34" spans="2:45" x14ac:dyDescent="0.2">
      <c r="B34">
        <v>33.42</v>
      </c>
      <c r="C34">
        <v>35</v>
      </c>
      <c r="D34">
        <v>38.049999999999997</v>
      </c>
      <c r="E34">
        <v>36.770000000000003</v>
      </c>
      <c r="F34">
        <v>34.96</v>
      </c>
      <c r="G34">
        <v>33.130000000000003</v>
      </c>
      <c r="H34">
        <v>31.4</v>
      </c>
      <c r="I34">
        <v>30.8</v>
      </c>
      <c r="J34">
        <v>31.14</v>
      </c>
      <c r="K34">
        <v>23.89</v>
      </c>
      <c r="L34">
        <v>26.23</v>
      </c>
      <c r="M34">
        <v>25.29</v>
      </c>
      <c r="N34">
        <v>26.4</v>
      </c>
      <c r="O34">
        <v>25.28</v>
      </c>
      <c r="P34">
        <v>24.15</v>
      </c>
      <c r="Q34">
        <v>24.34</v>
      </c>
      <c r="S34">
        <f t="shared" si="4"/>
        <v>33</v>
      </c>
      <c r="T34">
        <v>13</v>
      </c>
      <c r="V34">
        <v>327</v>
      </c>
      <c r="W34">
        <f t="shared" si="24"/>
        <v>10</v>
      </c>
      <c r="X34">
        <f t="shared" si="23"/>
        <v>1121.8</v>
      </c>
      <c r="Y34">
        <f t="shared" si="23"/>
        <v>1135.0999999999999</v>
      </c>
      <c r="Z34">
        <f t="shared" si="23"/>
        <v>1123.8</v>
      </c>
      <c r="AA34">
        <f t="shared" si="23"/>
        <v>996.59999999999991</v>
      </c>
      <c r="AB34">
        <f t="shared" si="23"/>
        <v>950.69999999999993</v>
      </c>
      <c r="AC34">
        <f t="shared" si="23"/>
        <v>794.5</v>
      </c>
      <c r="AD34">
        <f t="shared" si="23"/>
        <v>867.2</v>
      </c>
      <c r="AE34">
        <f t="shared" si="23"/>
        <v>877.2</v>
      </c>
      <c r="AF34" s="6">
        <f>'ASM2'!AG32</f>
        <v>104.12332160000001</v>
      </c>
      <c r="AG34" s="6">
        <f>'ASM2'!AH32</f>
        <v>107.91610079999998</v>
      </c>
      <c r="AH34" s="6">
        <f>'ASM2'!AI32</f>
        <v>113.658838</v>
      </c>
      <c r="AI34" s="6"/>
    </row>
    <row r="35" spans="2:45" x14ac:dyDescent="0.2">
      <c r="B35">
        <v>16.79</v>
      </c>
      <c r="C35">
        <v>17.940000000000001</v>
      </c>
      <c r="D35">
        <v>17.59</v>
      </c>
      <c r="E35">
        <v>20.239999999999998</v>
      </c>
      <c r="F35">
        <v>18.68</v>
      </c>
      <c r="G35">
        <v>16.43</v>
      </c>
      <c r="H35">
        <v>16.170000000000002</v>
      </c>
      <c r="I35">
        <v>15.97</v>
      </c>
      <c r="J35">
        <v>17.989999999999998</v>
      </c>
      <c r="K35">
        <v>15.8</v>
      </c>
      <c r="L35">
        <v>18.41</v>
      </c>
      <c r="M35">
        <v>19.84</v>
      </c>
      <c r="N35">
        <v>19.86</v>
      </c>
      <c r="O35">
        <v>24.55</v>
      </c>
      <c r="P35">
        <v>22.27</v>
      </c>
      <c r="Q35">
        <v>22.85</v>
      </c>
      <c r="S35">
        <f t="shared" si="4"/>
        <v>34</v>
      </c>
      <c r="T35">
        <v>13</v>
      </c>
      <c r="V35">
        <v>331</v>
      </c>
      <c r="W35">
        <f t="shared" si="24"/>
        <v>11</v>
      </c>
      <c r="X35">
        <f t="shared" si="23"/>
        <v>3293.7</v>
      </c>
      <c r="Y35">
        <f t="shared" si="23"/>
        <v>3490.9</v>
      </c>
      <c r="Z35">
        <f t="shared" si="23"/>
        <v>3481</v>
      </c>
      <c r="AA35">
        <f t="shared" si="23"/>
        <v>2838.7999999999997</v>
      </c>
      <c r="AB35">
        <f t="shared" si="23"/>
        <v>2791.4900000000002</v>
      </c>
      <c r="AC35">
        <f t="shared" si="23"/>
        <v>1888.06</v>
      </c>
      <c r="AD35">
        <f t="shared" si="23"/>
        <v>2053.3799999999997</v>
      </c>
      <c r="AE35">
        <f t="shared" si="23"/>
        <v>2074.89</v>
      </c>
      <c r="AF35" s="6">
        <f>'ASM2'!AG33</f>
        <v>454.3153064</v>
      </c>
      <c r="AG35" s="6">
        <f>'ASM2'!AH33</f>
        <v>428.01424559999998</v>
      </c>
      <c r="AH35" s="6">
        <f>'ASM2'!AI33</f>
        <v>445.84160439999999</v>
      </c>
      <c r="AI35" s="6"/>
    </row>
    <row r="36" spans="2:45" x14ac:dyDescent="0.2">
      <c r="B36">
        <v>10.36</v>
      </c>
      <c r="C36">
        <v>9.7249999999999996</v>
      </c>
      <c r="D36">
        <v>10.95</v>
      </c>
      <c r="E36">
        <v>11.61</v>
      </c>
      <c r="F36">
        <v>11.28</v>
      </c>
      <c r="G36">
        <v>10.53</v>
      </c>
      <c r="H36">
        <v>11.86</v>
      </c>
      <c r="I36">
        <v>11.26</v>
      </c>
      <c r="J36">
        <v>11.83</v>
      </c>
      <c r="K36">
        <v>11.79</v>
      </c>
      <c r="L36">
        <v>11.77</v>
      </c>
      <c r="M36">
        <v>12.35</v>
      </c>
      <c r="N36">
        <v>12.49</v>
      </c>
      <c r="O36">
        <v>9.9969999999999999</v>
      </c>
      <c r="P36">
        <v>9.3339999999999996</v>
      </c>
      <c r="Q36">
        <v>8.5090000000000003</v>
      </c>
      <c r="S36">
        <f t="shared" si="4"/>
        <v>35</v>
      </c>
      <c r="T36">
        <v>14</v>
      </c>
      <c r="V36">
        <v>332</v>
      </c>
      <c r="W36">
        <f t="shared" si="24"/>
        <v>12</v>
      </c>
      <c r="X36">
        <f t="shared" si="23"/>
        <v>283.66000000000003</v>
      </c>
      <c r="Y36">
        <f t="shared" si="23"/>
        <v>293.45</v>
      </c>
      <c r="Z36">
        <f t="shared" si="23"/>
        <v>283.56</v>
      </c>
      <c r="AA36">
        <f t="shared" si="23"/>
        <v>263.35000000000002</v>
      </c>
      <c r="AB36">
        <f t="shared" si="23"/>
        <v>253.68</v>
      </c>
      <c r="AC36">
        <f t="shared" si="23"/>
        <v>250.36</v>
      </c>
      <c r="AD36">
        <f t="shared" si="23"/>
        <v>250.6</v>
      </c>
      <c r="AE36">
        <f t="shared" si="23"/>
        <v>250.19</v>
      </c>
      <c r="AF36" s="6">
        <f>'ASM2'!AG34</f>
        <v>95.447629199999994</v>
      </c>
      <c r="AG36" s="6">
        <f>'ASM2'!AH34</f>
        <v>93.285103599999999</v>
      </c>
      <c r="AH36" s="6">
        <f>'ASM2'!AI34</f>
        <v>107.30296439999998</v>
      </c>
      <c r="AI36" s="6"/>
    </row>
    <row r="37" spans="2:45" x14ac:dyDescent="0.2">
      <c r="B37">
        <v>25.68</v>
      </c>
      <c r="C37">
        <v>25.18</v>
      </c>
      <c r="D37">
        <v>26.28</v>
      </c>
      <c r="E37">
        <v>22.99</v>
      </c>
      <c r="F37">
        <v>21.35</v>
      </c>
      <c r="G37">
        <v>20.07</v>
      </c>
      <c r="H37">
        <v>18.66</v>
      </c>
      <c r="I37">
        <v>20.16</v>
      </c>
      <c r="J37">
        <v>19.670000000000002</v>
      </c>
      <c r="K37">
        <v>17.16</v>
      </c>
      <c r="L37">
        <v>19.36</v>
      </c>
      <c r="M37">
        <v>17.61</v>
      </c>
      <c r="N37">
        <v>18.34</v>
      </c>
      <c r="O37">
        <v>21.09</v>
      </c>
      <c r="P37">
        <v>17.55</v>
      </c>
      <c r="Q37">
        <v>17.54</v>
      </c>
      <c r="S37">
        <f t="shared" si="4"/>
        <v>36</v>
      </c>
      <c r="T37">
        <v>13</v>
      </c>
      <c r="V37">
        <v>333</v>
      </c>
      <c r="W37">
        <f t="shared" si="24"/>
        <v>13</v>
      </c>
      <c r="X37">
        <f t="shared" si="23"/>
        <v>247.09899999999999</v>
      </c>
      <c r="Y37">
        <f t="shared" si="23"/>
        <v>255.13899999999998</v>
      </c>
      <c r="Z37">
        <f t="shared" si="23"/>
        <v>258.476</v>
      </c>
      <c r="AA37">
        <f t="shared" si="23"/>
        <v>243.14600000000002</v>
      </c>
      <c r="AB37">
        <f t="shared" si="23"/>
        <v>228.28800000000001</v>
      </c>
      <c r="AC37">
        <f t="shared" si="23"/>
        <v>223.73699999999999</v>
      </c>
      <c r="AD37">
        <f t="shared" si="23"/>
        <v>215.28400000000002</v>
      </c>
      <c r="AE37">
        <f t="shared" si="23"/>
        <v>213.18200000000002</v>
      </c>
      <c r="AF37" s="6">
        <f>'ASM2'!AG35</f>
        <v>91.40918600000002</v>
      </c>
      <c r="AG37" s="6">
        <f>'ASM2'!AH35</f>
        <v>89.682031599999988</v>
      </c>
      <c r="AH37" s="6">
        <f>'ASM2'!AI35</f>
        <v>100.69016720000002</v>
      </c>
      <c r="AI37" s="6"/>
    </row>
    <row r="38" spans="2:45" x14ac:dyDescent="0.2">
      <c r="B38">
        <v>35.79</v>
      </c>
      <c r="C38">
        <v>34.4</v>
      </c>
      <c r="D38">
        <v>36.479999999999997</v>
      </c>
      <c r="E38">
        <v>37.33</v>
      </c>
      <c r="F38">
        <v>35.43</v>
      </c>
      <c r="G38">
        <v>33.950000000000003</v>
      </c>
      <c r="H38">
        <v>30.67</v>
      </c>
      <c r="I38">
        <v>30.03</v>
      </c>
      <c r="J38">
        <v>29.97</v>
      </c>
      <c r="K38">
        <v>25.2</v>
      </c>
      <c r="L38">
        <v>26.86</v>
      </c>
      <c r="M38">
        <v>25.5</v>
      </c>
      <c r="N38">
        <v>25.14</v>
      </c>
      <c r="O38">
        <v>24.5</v>
      </c>
      <c r="P38">
        <v>22.91</v>
      </c>
      <c r="Q38">
        <v>23.53</v>
      </c>
      <c r="S38">
        <f t="shared" si="4"/>
        <v>37</v>
      </c>
      <c r="T38">
        <v>15</v>
      </c>
      <c r="V38">
        <v>334</v>
      </c>
      <c r="W38">
        <f t="shared" si="24"/>
        <v>14</v>
      </c>
      <c r="X38">
        <f t="shared" si="23"/>
        <v>77.575000000000003</v>
      </c>
      <c r="Y38">
        <f t="shared" si="23"/>
        <v>83.169999999999987</v>
      </c>
      <c r="Z38">
        <f t="shared" si="23"/>
        <v>78.070000000000007</v>
      </c>
      <c r="AA38">
        <f t="shared" si="23"/>
        <v>77.680000000000007</v>
      </c>
      <c r="AB38">
        <f t="shared" si="23"/>
        <v>74.3</v>
      </c>
      <c r="AC38">
        <f t="shared" si="23"/>
        <v>82.95</v>
      </c>
      <c r="AD38">
        <f t="shared" si="23"/>
        <v>84.31</v>
      </c>
      <c r="AE38">
        <f t="shared" si="23"/>
        <v>85.21</v>
      </c>
      <c r="AF38" s="6">
        <f>'ASM2'!AG36</f>
        <v>101.92428760000001</v>
      </c>
      <c r="AG38" s="6">
        <f>'ASM2'!AH36</f>
        <v>106.58234999999999</v>
      </c>
      <c r="AH38" s="6">
        <f>'ASM2'!AI36</f>
        <v>114.093868</v>
      </c>
      <c r="AI38" s="6"/>
    </row>
    <row r="39" spans="2:45" x14ac:dyDescent="0.2">
      <c r="B39">
        <v>28.21</v>
      </c>
      <c r="C39">
        <v>28.35</v>
      </c>
      <c r="D39">
        <v>27.84</v>
      </c>
      <c r="E39">
        <v>28.54</v>
      </c>
      <c r="F39">
        <v>25.13</v>
      </c>
      <c r="G39">
        <v>23.73</v>
      </c>
      <c r="H39">
        <v>22.49</v>
      </c>
      <c r="I39">
        <v>24.24</v>
      </c>
      <c r="J39">
        <v>22.27</v>
      </c>
      <c r="K39">
        <v>19.62</v>
      </c>
      <c r="L39">
        <v>20.49</v>
      </c>
      <c r="M39">
        <v>17.39</v>
      </c>
      <c r="N39">
        <v>16.850000000000001</v>
      </c>
      <c r="O39">
        <v>17.71</v>
      </c>
      <c r="P39">
        <v>16.09</v>
      </c>
      <c r="Q39">
        <v>14.84</v>
      </c>
      <c r="S39">
        <f t="shared" si="4"/>
        <v>38</v>
      </c>
      <c r="T39">
        <v>15</v>
      </c>
      <c r="V39">
        <v>335</v>
      </c>
      <c r="W39">
        <f t="shared" si="24"/>
        <v>15</v>
      </c>
      <c r="X39">
        <f t="shared" si="23"/>
        <v>99.25</v>
      </c>
      <c r="Y39">
        <f t="shared" si="23"/>
        <v>101.02999999999999</v>
      </c>
      <c r="Z39">
        <f t="shared" si="23"/>
        <v>101.43</v>
      </c>
      <c r="AA39">
        <f t="shared" si="23"/>
        <v>92.13000000000001</v>
      </c>
      <c r="AB39">
        <f t="shared" si="23"/>
        <v>87.58</v>
      </c>
      <c r="AC39">
        <f t="shared" si="23"/>
        <v>83.05</v>
      </c>
      <c r="AD39">
        <f t="shared" si="23"/>
        <v>87.07</v>
      </c>
      <c r="AE39">
        <f t="shared" si="23"/>
        <v>84.649999999999991</v>
      </c>
      <c r="AF39" s="6">
        <f>'ASM2'!AG37</f>
        <v>46.962085600000002</v>
      </c>
      <c r="AG39" s="6">
        <f>'ASM2'!AH37</f>
        <v>47.870360000000005</v>
      </c>
      <c r="AH39" s="6">
        <f>'ASM2'!AI37</f>
        <v>50.752476399999999</v>
      </c>
      <c r="AI39" s="6"/>
      <c r="AQ39">
        <v>1985</v>
      </c>
      <c r="AR39">
        <v>1986</v>
      </c>
      <c r="AS39">
        <v>1987</v>
      </c>
    </row>
    <row r="40" spans="2:45" x14ac:dyDescent="0.2">
      <c r="B40">
        <v>18.84</v>
      </c>
      <c r="C40">
        <v>19.38</v>
      </c>
      <c r="D40">
        <v>20.16</v>
      </c>
      <c r="E40">
        <v>19.149999999999999</v>
      </c>
      <c r="F40">
        <v>17.670000000000002</v>
      </c>
      <c r="G40">
        <v>17.32</v>
      </c>
      <c r="H40">
        <v>17.149999999999999</v>
      </c>
      <c r="I40">
        <v>19.149999999999999</v>
      </c>
      <c r="J40">
        <v>18.36</v>
      </c>
      <c r="K40">
        <v>17.38</v>
      </c>
      <c r="L40">
        <v>21.08</v>
      </c>
      <c r="M40">
        <v>24.04</v>
      </c>
      <c r="N40">
        <v>18.93</v>
      </c>
      <c r="O40">
        <v>17.920000000000002</v>
      </c>
      <c r="P40">
        <v>17.39</v>
      </c>
      <c r="Q40">
        <v>17.010000000000002</v>
      </c>
      <c r="S40">
        <f t="shared" si="4"/>
        <v>39</v>
      </c>
      <c r="T40">
        <v>15</v>
      </c>
      <c r="V40">
        <v>336</v>
      </c>
      <c r="W40">
        <f t="shared" si="24"/>
        <v>16</v>
      </c>
      <c r="X40">
        <f t="shared" si="23"/>
        <v>260.851</v>
      </c>
      <c r="Y40">
        <f t="shared" si="23"/>
        <v>269.226</v>
      </c>
      <c r="Z40">
        <f t="shared" si="23"/>
        <v>254.18900000000002</v>
      </c>
      <c r="AA40">
        <f t="shared" si="23"/>
        <v>221.929</v>
      </c>
      <c r="AB40">
        <f t="shared" si="23"/>
        <v>209.749</v>
      </c>
      <c r="AC40">
        <f t="shared" si="23"/>
        <v>193.54599999999999</v>
      </c>
      <c r="AD40">
        <f t="shared" si="23"/>
        <v>216.91400000000002</v>
      </c>
      <c r="AE40">
        <f t="shared" si="23"/>
        <v>215.75500000000002</v>
      </c>
      <c r="AF40" s="8">
        <f>AQ40*3.412*0.001</f>
        <v>117.838538</v>
      </c>
      <c r="AG40" s="8">
        <f>AR40*3.412*0.001</f>
        <v>122.2557132</v>
      </c>
      <c r="AH40" s="8">
        <f>AS40*3.412*0.001</f>
        <v>130.6492332</v>
      </c>
      <c r="AI40" s="8"/>
      <c r="AM40" t="s">
        <v>26</v>
      </c>
      <c r="AQ40">
        <v>34536.5</v>
      </c>
      <c r="AR40">
        <v>35831.1</v>
      </c>
      <c r="AS40">
        <v>38291.1</v>
      </c>
    </row>
    <row r="41" spans="2:45" x14ac:dyDescent="0.2">
      <c r="B41">
        <v>26.91</v>
      </c>
      <c r="C41">
        <v>28.87</v>
      </c>
      <c r="D41">
        <v>29.3</v>
      </c>
      <c r="E41">
        <v>26.76</v>
      </c>
      <c r="F41">
        <v>25.84</v>
      </c>
      <c r="G41">
        <v>24.4</v>
      </c>
      <c r="H41">
        <v>26.71</v>
      </c>
      <c r="I41">
        <v>26.95</v>
      </c>
      <c r="J41">
        <v>25.96</v>
      </c>
      <c r="K41">
        <v>22.61</v>
      </c>
      <c r="L41">
        <v>23.77</v>
      </c>
      <c r="M41">
        <v>10.71</v>
      </c>
      <c r="N41">
        <v>9.59</v>
      </c>
      <c r="O41">
        <v>10.77</v>
      </c>
      <c r="P41">
        <v>11.06</v>
      </c>
      <c r="Q41">
        <v>11.1</v>
      </c>
      <c r="S41">
        <f t="shared" si="4"/>
        <v>40</v>
      </c>
      <c r="T41">
        <v>14</v>
      </c>
      <c r="V41">
        <v>337</v>
      </c>
      <c r="W41">
        <f t="shared" si="24"/>
        <v>17</v>
      </c>
      <c r="X41">
        <f t="shared" si="23"/>
        <v>35.97</v>
      </c>
      <c r="Y41">
        <f t="shared" si="23"/>
        <v>37.739999999999995</v>
      </c>
      <c r="Z41">
        <f t="shared" si="23"/>
        <v>35.5</v>
      </c>
      <c r="AA41">
        <f t="shared" si="23"/>
        <v>32.049999999999997</v>
      </c>
      <c r="AB41">
        <f t="shared" si="23"/>
        <v>29.42</v>
      </c>
      <c r="AC41">
        <f t="shared" si="23"/>
        <v>27.560000000000002</v>
      </c>
      <c r="AD41">
        <f t="shared" si="23"/>
        <v>28.32</v>
      </c>
      <c r="AE41">
        <f t="shared" si="23"/>
        <v>29.990000000000002</v>
      </c>
      <c r="AF41" s="6">
        <f>'ASM2'!AG39</f>
        <v>15.2693824</v>
      </c>
      <c r="AG41" s="6">
        <f>'ASM2'!AH39</f>
        <v>15.963042</v>
      </c>
      <c r="AH41" s="6">
        <f>'ASM2'!AI39</f>
        <v>19.492073600000001</v>
      </c>
      <c r="AI41" s="6"/>
    </row>
    <row r="42" spans="2:45" x14ac:dyDescent="0.2">
      <c r="B42">
        <v>20.85</v>
      </c>
      <c r="C42">
        <v>21.21</v>
      </c>
      <c r="D42">
        <v>24.54</v>
      </c>
      <c r="E42">
        <v>22.1</v>
      </c>
      <c r="F42">
        <v>23.41</v>
      </c>
      <c r="G42">
        <v>22.57</v>
      </c>
      <c r="H42">
        <v>27.13</v>
      </c>
      <c r="I42">
        <v>27.84</v>
      </c>
      <c r="J42">
        <v>28.53</v>
      </c>
      <c r="K42">
        <v>30.23</v>
      </c>
      <c r="L42">
        <v>29.49</v>
      </c>
      <c r="M42">
        <v>31.34</v>
      </c>
      <c r="N42">
        <v>30.87</v>
      </c>
      <c r="O42">
        <v>34.340000000000003</v>
      </c>
      <c r="P42">
        <v>33.01</v>
      </c>
      <c r="Q42">
        <v>33.880000000000003</v>
      </c>
      <c r="S42">
        <f t="shared" si="4"/>
        <v>41</v>
      </c>
      <c r="T42">
        <v>14</v>
      </c>
      <c r="V42">
        <v>339</v>
      </c>
      <c r="W42">
        <f t="shared" si="24"/>
        <v>18</v>
      </c>
      <c r="X42">
        <f t="shared" ref="X42:AE42" si="25">X19</f>
        <v>30.71</v>
      </c>
      <c r="Y42">
        <f t="shared" si="25"/>
        <v>32.17</v>
      </c>
      <c r="Z42">
        <f t="shared" si="25"/>
        <v>30.94</v>
      </c>
      <c r="AA42">
        <f t="shared" si="25"/>
        <v>29.08</v>
      </c>
      <c r="AB42">
        <f t="shared" si="25"/>
        <v>26.72</v>
      </c>
      <c r="AC42">
        <f t="shared" si="25"/>
        <v>22.98</v>
      </c>
      <c r="AD42">
        <f t="shared" si="25"/>
        <v>24.81</v>
      </c>
      <c r="AE42">
        <f t="shared" si="25"/>
        <v>24.38</v>
      </c>
      <c r="AF42" s="6">
        <f>'ASM2'!AG40</f>
        <v>11.8935496</v>
      </c>
      <c r="AG42" s="6">
        <f>'ASM2'!AH40</f>
        <v>12.127954000000001</v>
      </c>
      <c r="AH42" s="6">
        <f>'ASM2'!AI40</f>
        <v>15.821102799999998</v>
      </c>
      <c r="AI42" s="6"/>
    </row>
    <row r="43" spans="2:45" x14ac:dyDescent="0.2">
      <c r="B43">
        <v>15.39</v>
      </c>
      <c r="C43">
        <v>17.12</v>
      </c>
      <c r="D43">
        <v>16.55</v>
      </c>
      <c r="E43">
        <v>16.41</v>
      </c>
      <c r="F43">
        <v>13.9</v>
      </c>
      <c r="G43">
        <v>12.58</v>
      </c>
      <c r="H43">
        <v>12.74</v>
      </c>
      <c r="I43">
        <v>13.65</v>
      </c>
      <c r="J43">
        <v>14.05</v>
      </c>
      <c r="K43">
        <v>12.19</v>
      </c>
      <c r="L43">
        <v>12.96</v>
      </c>
      <c r="M43">
        <v>14.57</v>
      </c>
      <c r="N43">
        <v>14.51</v>
      </c>
      <c r="O43">
        <v>14.26</v>
      </c>
      <c r="P43">
        <v>13.02</v>
      </c>
      <c r="Q43">
        <v>13.63</v>
      </c>
      <c r="S43">
        <f t="shared" si="4"/>
        <v>42</v>
      </c>
      <c r="T43">
        <v>15</v>
      </c>
    </row>
    <row r="44" spans="2:45" x14ac:dyDescent="0.2">
      <c r="B44">
        <v>185.6</v>
      </c>
      <c r="C44">
        <v>183.6</v>
      </c>
      <c r="D44">
        <v>188</v>
      </c>
      <c r="E44">
        <v>175.8</v>
      </c>
      <c r="F44">
        <v>143.69999999999999</v>
      </c>
      <c r="G44">
        <v>135.1</v>
      </c>
      <c r="H44">
        <v>123.1</v>
      </c>
      <c r="I44">
        <v>141.5</v>
      </c>
      <c r="J44">
        <v>148.4</v>
      </c>
      <c r="K44">
        <v>135.9</v>
      </c>
      <c r="L44">
        <v>142.4</v>
      </c>
      <c r="M44">
        <v>141.6</v>
      </c>
      <c r="N44">
        <v>147.9</v>
      </c>
      <c r="O44">
        <v>143.4</v>
      </c>
      <c r="P44">
        <v>129.5</v>
      </c>
      <c r="Q44">
        <v>131.1</v>
      </c>
      <c r="S44">
        <f t="shared" si="4"/>
        <v>43</v>
      </c>
      <c r="T44">
        <v>16</v>
      </c>
      <c r="AF44" s="5">
        <f>SUM(AF25:AF42)</f>
        <v>2240.7982447999998</v>
      </c>
      <c r="AH44" s="5">
        <f>SUM(AH25:AH42)</f>
        <v>2376.4404282</v>
      </c>
      <c r="AI44" s="5"/>
    </row>
    <row r="45" spans="2:45" x14ac:dyDescent="0.2">
      <c r="B45">
        <v>4.1749999999999998</v>
      </c>
      <c r="C45">
        <v>3.2010000000000001</v>
      </c>
      <c r="D45">
        <v>3.3359999999999999</v>
      </c>
      <c r="E45">
        <v>2.6789999999999998</v>
      </c>
      <c r="F45">
        <v>2.4990000000000001</v>
      </c>
      <c r="G45">
        <v>2.149</v>
      </c>
      <c r="H45">
        <v>1.946</v>
      </c>
      <c r="I45">
        <v>3.0539999999999998</v>
      </c>
      <c r="J45">
        <v>2.4950000000000001</v>
      </c>
      <c r="K45">
        <v>3.6560000000000001</v>
      </c>
      <c r="L45">
        <v>3.8889999999999998</v>
      </c>
      <c r="M45">
        <v>4.4219999999999997</v>
      </c>
      <c r="N45">
        <v>4.5060000000000002</v>
      </c>
      <c r="O45">
        <v>4.6319999999999997</v>
      </c>
      <c r="P45">
        <v>4.625</v>
      </c>
      <c r="Q45">
        <v>5.4889999999999999</v>
      </c>
      <c r="S45">
        <f t="shared" si="4"/>
        <v>44</v>
      </c>
      <c r="T45">
        <v>16</v>
      </c>
      <c r="AF45" s="5">
        <f>SUM(AF36:AF42)</f>
        <v>480.74465840000005</v>
      </c>
      <c r="AH45" s="5">
        <f>SUM(AH36:AH42)</f>
        <v>538.80188559999999</v>
      </c>
      <c r="AI45" s="5"/>
    </row>
    <row r="46" spans="2:45" x14ac:dyDescent="0.2">
      <c r="B46">
        <v>43.6</v>
      </c>
      <c r="C46">
        <v>42.49</v>
      </c>
      <c r="D46">
        <v>43.43</v>
      </c>
      <c r="E46">
        <v>43.29</v>
      </c>
      <c r="F46">
        <v>43.7</v>
      </c>
      <c r="G46">
        <v>42.22</v>
      </c>
      <c r="H46">
        <v>44.66</v>
      </c>
      <c r="I46">
        <v>49.12</v>
      </c>
      <c r="J46">
        <v>44.74</v>
      </c>
      <c r="K46">
        <v>39.22</v>
      </c>
      <c r="L46">
        <v>41.61</v>
      </c>
      <c r="M46">
        <v>42.5</v>
      </c>
      <c r="N46">
        <v>44.25</v>
      </c>
      <c r="O46">
        <v>43.21</v>
      </c>
      <c r="P46">
        <v>41.39</v>
      </c>
      <c r="Q46">
        <v>42.88</v>
      </c>
      <c r="S46">
        <f t="shared" si="4"/>
        <v>45</v>
      </c>
      <c r="T46">
        <v>16</v>
      </c>
    </row>
    <row r="47" spans="2:45" x14ac:dyDescent="0.2">
      <c r="B47">
        <v>28.92</v>
      </c>
      <c r="C47">
        <v>31.56</v>
      </c>
      <c r="D47">
        <v>34.46</v>
      </c>
      <c r="E47">
        <v>32.42</v>
      </c>
      <c r="F47">
        <v>32.03</v>
      </c>
      <c r="G47">
        <v>30.28</v>
      </c>
      <c r="H47">
        <v>23.84</v>
      </c>
      <c r="I47">
        <v>23.24</v>
      </c>
      <c r="J47">
        <v>20.12</v>
      </c>
      <c r="K47">
        <v>18.97</v>
      </c>
      <c r="L47">
        <v>20.72</v>
      </c>
      <c r="M47">
        <v>19.260000000000002</v>
      </c>
      <c r="N47">
        <v>22.94</v>
      </c>
      <c r="O47">
        <v>20.58</v>
      </c>
      <c r="P47">
        <v>19.399999999999999</v>
      </c>
      <c r="Q47">
        <v>19.61</v>
      </c>
      <c r="S47">
        <f t="shared" si="4"/>
        <v>46</v>
      </c>
      <c r="T47">
        <v>16</v>
      </c>
    </row>
    <row r="48" spans="2:45" x14ac:dyDescent="0.2">
      <c r="B48">
        <v>17.13</v>
      </c>
      <c r="C48">
        <v>17.77</v>
      </c>
      <c r="D48">
        <v>18.38</v>
      </c>
      <c r="E48">
        <v>17.600000000000001</v>
      </c>
      <c r="F48">
        <v>17.149999999999999</v>
      </c>
      <c r="G48">
        <v>16.8</v>
      </c>
      <c r="H48">
        <v>17.25</v>
      </c>
      <c r="I48">
        <v>18.260000000000002</v>
      </c>
      <c r="J48">
        <v>18.89</v>
      </c>
      <c r="K48">
        <v>17.57</v>
      </c>
      <c r="L48">
        <v>19.170000000000002</v>
      </c>
      <c r="M48">
        <v>28.39</v>
      </c>
      <c r="N48">
        <v>28.22</v>
      </c>
      <c r="O48">
        <v>30.05</v>
      </c>
      <c r="P48">
        <v>30.65</v>
      </c>
      <c r="Q48">
        <v>29.89</v>
      </c>
      <c r="S48">
        <f t="shared" si="4"/>
        <v>47</v>
      </c>
      <c r="T48">
        <v>14</v>
      </c>
      <c r="V48">
        <v>1985</v>
      </c>
      <c r="W48" t="s">
        <v>38</v>
      </c>
      <c r="AD48" t="s">
        <v>39</v>
      </c>
    </row>
    <row r="49" spans="2:32" ht="45.75" thickBot="1" x14ac:dyDescent="0.25">
      <c r="B49">
        <v>34.81</v>
      </c>
      <c r="C49">
        <v>32.29</v>
      </c>
      <c r="D49">
        <v>30.79</v>
      </c>
      <c r="E49">
        <v>37.659999999999997</v>
      </c>
      <c r="F49">
        <v>38</v>
      </c>
      <c r="G49">
        <v>34.840000000000003</v>
      </c>
      <c r="H49">
        <v>36.31</v>
      </c>
      <c r="I49">
        <v>40.81</v>
      </c>
      <c r="J49">
        <v>41.64</v>
      </c>
      <c r="K49">
        <v>36.770000000000003</v>
      </c>
      <c r="L49">
        <v>37.06</v>
      </c>
      <c r="M49">
        <v>41.82</v>
      </c>
      <c r="N49">
        <v>43.26</v>
      </c>
      <c r="O49">
        <v>36.25</v>
      </c>
      <c r="P49">
        <v>38.72</v>
      </c>
      <c r="Q49">
        <v>37.24</v>
      </c>
      <c r="S49">
        <f t="shared" si="4"/>
        <v>48</v>
      </c>
      <c r="T49">
        <v>13</v>
      </c>
      <c r="W49" s="1"/>
      <c r="X49" s="16" t="s">
        <v>33</v>
      </c>
      <c r="Y49" s="17" t="s">
        <v>34</v>
      </c>
      <c r="Z49" s="17" t="s">
        <v>35</v>
      </c>
      <c r="AA49" s="17" t="s">
        <v>36</v>
      </c>
      <c r="AB49" s="17" t="s">
        <v>37</v>
      </c>
      <c r="AE49" s="17" t="s">
        <v>35</v>
      </c>
      <c r="AF49" s="17" t="s">
        <v>36</v>
      </c>
    </row>
    <row r="50" spans="2:32" x14ac:dyDescent="0.2">
      <c r="B50">
        <v>31.74</v>
      </c>
      <c r="C50">
        <v>30.71</v>
      </c>
      <c r="D50">
        <v>32.17</v>
      </c>
      <c r="E50">
        <v>30.94</v>
      </c>
      <c r="F50">
        <v>29.08</v>
      </c>
      <c r="G50">
        <v>26.72</v>
      </c>
      <c r="H50">
        <v>22.98</v>
      </c>
      <c r="I50">
        <v>24.81</v>
      </c>
      <c r="J50">
        <v>24.38</v>
      </c>
      <c r="K50">
        <v>20.68</v>
      </c>
      <c r="L50">
        <v>23.64</v>
      </c>
      <c r="M50">
        <v>26.88</v>
      </c>
      <c r="N50">
        <v>28.59</v>
      </c>
      <c r="O50">
        <v>29.53</v>
      </c>
      <c r="P50">
        <v>28.47</v>
      </c>
      <c r="Q50">
        <v>29.18</v>
      </c>
      <c r="S50">
        <f t="shared" si="4"/>
        <v>49</v>
      </c>
      <c r="T50">
        <v>18</v>
      </c>
      <c r="V50" s="2">
        <v>311</v>
      </c>
      <c r="W50">
        <v>20</v>
      </c>
      <c r="X50">
        <v>946</v>
      </c>
      <c r="Y50">
        <v>44417</v>
      </c>
      <c r="Z50" s="12">
        <f>Y50*3.412*0.001</f>
        <v>151.550804</v>
      </c>
      <c r="AA50" s="12">
        <f>X50-Z50</f>
        <v>794.44919600000003</v>
      </c>
      <c r="AD50" t="s">
        <v>12</v>
      </c>
      <c r="AE50" s="15">
        <f>Z50+Z51</f>
        <v>155.730504</v>
      </c>
      <c r="AF50" s="15">
        <f>AA50+AA51</f>
        <v>809.269496</v>
      </c>
    </row>
    <row r="51" spans="2:32" x14ac:dyDescent="0.2">
      <c r="B51">
        <v>779.1</v>
      </c>
      <c r="C51">
        <v>784.2</v>
      </c>
      <c r="D51">
        <v>809.2</v>
      </c>
      <c r="E51">
        <v>782</v>
      </c>
      <c r="F51">
        <v>776.7</v>
      </c>
      <c r="G51">
        <v>733.7</v>
      </c>
      <c r="H51">
        <v>751.2</v>
      </c>
      <c r="I51">
        <v>778.2</v>
      </c>
      <c r="J51">
        <v>772.9</v>
      </c>
      <c r="K51">
        <v>681.5</v>
      </c>
      <c r="L51">
        <v>723</v>
      </c>
      <c r="M51">
        <v>691.9</v>
      </c>
      <c r="N51">
        <v>702.6</v>
      </c>
      <c r="O51">
        <v>719.8</v>
      </c>
      <c r="P51">
        <v>698.3</v>
      </c>
      <c r="Q51">
        <v>730.9</v>
      </c>
      <c r="S51">
        <f t="shared" si="4"/>
        <v>50</v>
      </c>
      <c r="T51">
        <v>1</v>
      </c>
      <c r="V51" s="2">
        <v>312</v>
      </c>
      <c r="W51">
        <v>21</v>
      </c>
      <c r="X51">
        <v>19</v>
      </c>
      <c r="Y51">
        <v>1225</v>
      </c>
      <c r="Z51" s="12">
        <f>Y51*3.412*0.001</f>
        <v>4.1796999999999995</v>
      </c>
      <c r="AA51" s="12">
        <f>X51-Z51</f>
        <v>14.8203</v>
      </c>
      <c r="AD51" t="s">
        <v>13</v>
      </c>
      <c r="AE51" s="15">
        <f>Z52</f>
        <v>87.183424000000002</v>
      </c>
      <c r="AF51" s="15">
        <f>AA52</f>
        <v>160.816576</v>
      </c>
    </row>
    <row r="52" spans="2:32" x14ac:dyDescent="0.2">
      <c r="B52">
        <v>15.94</v>
      </c>
      <c r="C52">
        <v>19.14</v>
      </c>
      <c r="D52">
        <v>17.79</v>
      </c>
      <c r="E52">
        <v>16.23</v>
      </c>
      <c r="F52">
        <v>17.18</v>
      </c>
      <c r="G52">
        <v>16.72</v>
      </c>
      <c r="H52">
        <v>16.46</v>
      </c>
      <c r="I52">
        <v>19.059999999999999</v>
      </c>
      <c r="J52">
        <v>18.29</v>
      </c>
      <c r="K52">
        <v>19.45</v>
      </c>
      <c r="L52">
        <v>22.83</v>
      </c>
      <c r="M52">
        <v>22.69</v>
      </c>
      <c r="N52">
        <v>32.36</v>
      </c>
      <c r="O52">
        <v>20.49</v>
      </c>
      <c r="P52">
        <v>19.329999999999998</v>
      </c>
      <c r="Q52">
        <v>19.8</v>
      </c>
      <c r="S52">
        <f t="shared" si="4"/>
        <v>51</v>
      </c>
      <c r="T52">
        <v>1</v>
      </c>
      <c r="V52" s="2">
        <v>313</v>
      </c>
      <c r="W52">
        <v>22</v>
      </c>
      <c r="X52">
        <v>248</v>
      </c>
      <c r="Y52">
        <v>25552</v>
      </c>
      <c r="Z52" s="12">
        <f>Y52*3.412*0.001</f>
        <v>87.183424000000002</v>
      </c>
      <c r="AA52" s="12">
        <f>X52-Z52</f>
        <v>160.816576</v>
      </c>
      <c r="AD52" t="s">
        <v>14</v>
      </c>
      <c r="AE52" s="15">
        <f>Z54+Z55</f>
        <v>17.343195999999999</v>
      </c>
      <c r="AF52" s="15">
        <f>AA54+AA55</f>
        <v>25.656804000000001</v>
      </c>
    </row>
    <row r="53" spans="2:32" x14ac:dyDescent="0.2">
      <c r="B53">
        <v>139.9</v>
      </c>
      <c r="C53">
        <v>140.80000000000001</v>
      </c>
      <c r="D53">
        <v>134.5</v>
      </c>
      <c r="E53">
        <v>127</v>
      </c>
      <c r="F53">
        <v>119.4</v>
      </c>
      <c r="G53">
        <v>118.3</v>
      </c>
      <c r="H53">
        <v>103.1</v>
      </c>
      <c r="I53">
        <v>117.1</v>
      </c>
      <c r="J53">
        <v>113.3</v>
      </c>
      <c r="K53">
        <v>100.2</v>
      </c>
      <c r="L53">
        <v>105.2</v>
      </c>
      <c r="M53">
        <v>105.8</v>
      </c>
      <c r="N53">
        <v>22.46</v>
      </c>
      <c r="O53">
        <v>96.44</v>
      </c>
      <c r="P53">
        <v>125.7</v>
      </c>
      <c r="Q53">
        <v>92.62</v>
      </c>
      <c r="S53">
        <f t="shared" si="4"/>
        <v>52</v>
      </c>
      <c r="T53">
        <v>2</v>
      </c>
      <c r="V53">
        <v>314</v>
      </c>
      <c r="AD53">
        <v>321</v>
      </c>
      <c r="AE53" s="15">
        <f>Z56</f>
        <v>46.925235999999998</v>
      </c>
      <c r="AF53" s="15">
        <f>AA56</f>
        <v>286.07476400000002</v>
      </c>
    </row>
    <row r="54" spans="2:32" x14ac:dyDescent="0.2">
      <c r="B54">
        <v>45.36</v>
      </c>
      <c r="C54">
        <v>49.42</v>
      </c>
      <c r="D54">
        <v>50.23</v>
      </c>
      <c r="E54">
        <v>48.22</v>
      </c>
      <c r="F54">
        <v>41.56</v>
      </c>
      <c r="G54">
        <v>39.39</v>
      </c>
      <c r="H54">
        <v>34.229999999999997</v>
      </c>
      <c r="I54">
        <v>38.86</v>
      </c>
      <c r="J54">
        <v>40.57</v>
      </c>
      <c r="K54">
        <v>36.07</v>
      </c>
      <c r="L54">
        <v>40.19</v>
      </c>
      <c r="M54">
        <v>44.89</v>
      </c>
      <c r="N54">
        <v>42.1</v>
      </c>
      <c r="O54">
        <v>44.35</v>
      </c>
      <c r="P54">
        <v>41.03</v>
      </c>
      <c r="Q54">
        <v>39.14</v>
      </c>
      <c r="S54">
        <f t="shared" si="4"/>
        <v>53</v>
      </c>
      <c r="T54">
        <v>2</v>
      </c>
      <c r="V54">
        <v>315</v>
      </c>
      <c r="W54">
        <v>23</v>
      </c>
      <c r="X54">
        <v>30</v>
      </c>
      <c r="Y54">
        <v>4030</v>
      </c>
      <c r="Z54" s="12">
        <f>Y54*3.412*0.001</f>
        <v>13.750360000000001</v>
      </c>
      <c r="AA54" s="12">
        <f>X54-Z54</f>
        <v>16.249639999999999</v>
      </c>
      <c r="AD54">
        <f>V57</f>
        <v>322</v>
      </c>
      <c r="AE54" s="15">
        <f t="shared" ref="AE54:AE60" si="26">Z57</f>
        <v>177.246576</v>
      </c>
      <c r="AF54" s="15">
        <f t="shared" ref="AF54:AF60" si="27">AA57</f>
        <v>2020.753424</v>
      </c>
    </row>
    <row r="55" spans="2:32" x14ac:dyDescent="0.2">
      <c r="B55">
        <v>33.159999999999997</v>
      </c>
      <c r="C55">
        <v>39.619999999999997</v>
      </c>
      <c r="D55">
        <v>40.35</v>
      </c>
      <c r="E55">
        <v>39.979999999999997</v>
      </c>
      <c r="F55">
        <v>38.020000000000003</v>
      </c>
      <c r="G55">
        <v>35.74</v>
      </c>
      <c r="H55">
        <v>33.11</v>
      </c>
      <c r="I55">
        <v>36.5</v>
      </c>
      <c r="J55">
        <v>34.81</v>
      </c>
      <c r="K55">
        <v>31.22</v>
      </c>
      <c r="L55">
        <v>33.799999999999997</v>
      </c>
      <c r="M55">
        <v>38.020000000000003</v>
      </c>
      <c r="N55">
        <v>39.75</v>
      </c>
      <c r="O55">
        <v>39.76</v>
      </c>
      <c r="P55">
        <v>3.637</v>
      </c>
      <c r="Q55">
        <v>41.55</v>
      </c>
      <c r="S55">
        <f t="shared" si="4"/>
        <v>54</v>
      </c>
      <c r="T55">
        <v>2</v>
      </c>
      <c r="V55">
        <v>316</v>
      </c>
      <c r="W55">
        <v>31</v>
      </c>
      <c r="X55">
        <v>13</v>
      </c>
      <c r="Y55">
        <v>1053</v>
      </c>
      <c r="Z55" s="12">
        <f t="shared" ref="Z55:Z70" si="28">Y55*3.412*0.001</f>
        <v>3.5928359999999997</v>
      </c>
      <c r="AA55" s="12">
        <f t="shared" ref="AA55:AA70" si="29">X55-Z55</f>
        <v>9.4071639999999999</v>
      </c>
      <c r="AD55">
        <f t="shared" ref="AD55:AD67" si="30">V58</f>
        <v>323</v>
      </c>
      <c r="AE55" s="15">
        <f t="shared" si="26"/>
        <v>38.159807999999998</v>
      </c>
      <c r="AF55" s="15">
        <f t="shared" si="27"/>
        <v>37.840192000000002</v>
      </c>
    </row>
    <row r="56" spans="2:32" x14ac:dyDescent="0.2">
      <c r="B56">
        <v>23.87</v>
      </c>
      <c r="C56">
        <v>27.05</v>
      </c>
      <c r="D56">
        <v>29.75</v>
      </c>
      <c r="E56">
        <v>26.07</v>
      </c>
      <c r="F56">
        <v>26.05</v>
      </c>
      <c r="G56">
        <v>27.31</v>
      </c>
      <c r="H56">
        <v>19.829999999999998</v>
      </c>
      <c r="I56">
        <v>21.42</v>
      </c>
      <c r="J56">
        <v>19.5</v>
      </c>
      <c r="K56">
        <v>16.3</v>
      </c>
      <c r="L56">
        <v>20.6</v>
      </c>
      <c r="M56">
        <v>22.01</v>
      </c>
      <c r="N56">
        <v>24.18</v>
      </c>
      <c r="O56">
        <v>18.78</v>
      </c>
      <c r="P56">
        <v>15.88</v>
      </c>
      <c r="Q56">
        <v>18.59</v>
      </c>
      <c r="S56">
        <f t="shared" si="4"/>
        <v>55</v>
      </c>
      <c r="T56">
        <v>3</v>
      </c>
      <c r="V56">
        <f>V28</f>
        <v>321</v>
      </c>
      <c r="W56">
        <v>24</v>
      </c>
      <c r="X56">
        <v>333</v>
      </c>
      <c r="Y56">
        <v>13753</v>
      </c>
      <c r="Z56" s="12">
        <f t="shared" si="28"/>
        <v>46.925235999999998</v>
      </c>
      <c r="AA56" s="12">
        <f t="shared" si="29"/>
        <v>286.07476400000002</v>
      </c>
      <c r="AD56">
        <f t="shared" si="30"/>
        <v>324</v>
      </c>
      <c r="AE56" s="15">
        <f t="shared" si="26"/>
        <v>113.462648</v>
      </c>
      <c r="AF56" s="15">
        <f t="shared" si="27"/>
        <v>2517.5373519999998</v>
      </c>
    </row>
    <row r="57" spans="2:32" x14ac:dyDescent="0.2">
      <c r="B57">
        <v>12.44</v>
      </c>
      <c r="C57">
        <v>13.27</v>
      </c>
      <c r="D57">
        <v>13.62</v>
      </c>
      <c r="E57">
        <v>10.76</v>
      </c>
      <c r="F57">
        <v>9.7129999999999992</v>
      </c>
      <c r="G57">
        <v>10.49</v>
      </c>
      <c r="H57">
        <v>9.9870000000000001</v>
      </c>
      <c r="I57">
        <v>9.5890000000000004</v>
      </c>
      <c r="J57">
        <v>10.199999999999999</v>
      </c>
      <c r="K57">
        <v>8.8620000000000001</v>
      </c>
      <c r="L57">
        <v>10.9</v>
      </c>
      <c r="M57">
        <v>11.51</v>
      </c>
      <c r="N57">
        <v>10.7</v>
      </c>
      <c r="O57">
        <v>11.24</v>
      </c>
      <c r="P57">
        <v>11.11</v>
      </c>
      <c r="Q57">
        <v>11.82</v>
      </c>
      <c r="S57">
        <f t="shared" si="4"/>
        <v>56</v>
      </c>
      <c r="T57">
        <v>2</v>
      </c>
      <c r="V57">
        <f t="shared" ref="V57:V70" si="31">V29</f>
        <v>322</v>
      </c>
      <c r="W57">
        <v>26</v>
      </c>
      <c r="X57">
        <v>2198</v>
      </c>
      <c r="Y57">
        <v>51948</v>
      </c>
      <c r="Z57" s="12">
        <f t="shared" si="28"/>
        <v>177.246576</v>
      </c>
      <c r="AA57" s="12">
        <f t="shared" si="29"/>
        <v>2020.753424</v>
      </c>
      <c r="AD57">
        <f t="shared" si="30"/>
        <v>325</v>
      </c>
      <c r="AE57" s="15">
        <f t="shared" si="26"/>
        <v>407.55657600000001</v>
      </c>
      <c r="AF57" s="15">
        <f t="shared" si="27"/>
        <v>1999.4434240000001</v>
      </c>
    </row>
    <row r="58" spans="2:32" x14ac:dyDescent="0.2">
      <c r="B58">
        <v>1044</v>
      </c>
      <c r="C58">
        <v>1049</v>
      </c>
      <c r="D58">
        <v>1015</v>
      </c>
      <c r="E58">
        <v>1007</v>
      </c>
      <c r="F58">
        <v>969.6</v>
      </c>
      <c r="G58">
        <v>920.4</v>
      </c>
      <c r="H58">
        <v>874.5</v>
      </c>
      <c r="I58">
        <v>947.2</v>
      </c>
      <c r="J58">
        <v>958.9</v>
      </c>
      <c r="K58">
        <v>905.2</v>
      </c>
      <c r="L58">
        <v>902.2</v>
      </c>
      <c r="M58">
        <v>907.7</v>
      </c>
      <c r="N58">
        <v>927</v>
      </c>
      <c r="O58">
        <v>931.1</v>
      </c>
      <c r="P58">
        <v>962.5</v>
      </c>
      <c r="Q58">
        <v>911.2</v>
      </c>
      <c r="S58">
        <f t="shared" si="4"/>
        <v>57</v>
      </c>
      <c r="T58">
        <v>5</v>
      </c>
      <c r="V58">
        <f t="shared" si="31"/>
        <v>323</v>
      </c>
      <c r="W58">
        <v>27</v>
      </c>
      <c r="X58">
        <v>76</v>
      </c>
      <c r="Y58">
        <v>11184</v>
      </c>
      <c r="Z58" s="12">
        <f t="shared" si="28"/>
        <v>38.159807999999998</v>
      </c>
      <c r="AA58" s="12">
        <f t="shared" si="29"/>
        <v>37.840192000000002</v>
      </c>
      <c r="AD58">
        <f t="shared" si="30"/>
        <v>326</v>
      </c>
      <c r="AE58" s="15">
        <f t="shared" si="26"/>
        <v>87.975008000000003</v>
      </c>
      <c r="AF58" s="15">
        <f t="shared" si="27"/>
        <v>124.024992</v>
      </c>
    </row>
    <row r="59" spans="2:32" x14ac:dyDescent="0.2">
      <c r="B59">
        <v>39.33</v>
      </c>
      <c r="C59">
        <v>40.090000000000003</v>
      </c>
      <c r="D59">
        <v>41.61</v>
      </c>
      <c r="E59">
        <v>43.18</v>
      </c>
      <c r="F59">
        <v>40.86</v>
      </c>
      <c r="G59">
        <v>37.75</v>
      </c>
      <c r="H59">
        <v>39.11</v>
      </c>
      <c r="I59">
        <v>41.85</v>
      </c>
      <c r="J59">
        <v>45.39</v>
      </c>
      <c r="K59">
        <v>42.54</v>
      </c>
      <c r="L59">
        <v>47.72</v>
      </c>
      <c r="M59">
        <v>48.24</v>
      </c>
      <c r="N59">
        <v>49.42</v>
      </c>
      <c r="O59">
        <v>53.02</v>
      </c>
      <c r="P59">
        <v>52.86</v>
      </c>
      <c r="Q59">
        <v>51.34</v>
      </c>
      <c r="S59">
        <f t="shared" si="4"/>
        <v>58</v>
      </c>
      <c r="T59">
        <v>5</v>
      </c>
      <c r="V59">
        <f t="shared" si="31"/>
        <v>324</v>
      </c>
      <c r="X59">
        <v>2631</v>
      </c>
      <c r="Y59">
        <v>33254</v>
      </c>
      <c r="Z59" s="12">
        <f t="shared" si="28"/>
        <v>113.462648</v>
      </c>
      <c r="AA59" s="12">
        <f t="shared" si="29"/>
        <v>2517.5373519999998</v>
      </c>
      <c r="AD59">
        <f t="shared" si="30"/>
        <v>327</v>
      </c>
      <c r="AE59" s="15">
        <f t="shared" si="26"/>
        <v>104.93606</v>
      </c>
      <c r="AF59" s="15">
        <f t="shared" si="27"/>
        <v>791.06394</v>
      </c>
    </row>
    <row r="60" spans="2:32" x14ac:dyDescent="0.2">
      <c r="B60">
        <v>37.090000000000003</v>
      </c>
      <c r="C60">
        <v>39.61</v>
      </c>
      <c r="D60">
        <v>41.56</v>
      </c>
      <c r="E60">
        <v>40.19</v>
      </c>
      <c r="F60">
        <v>39.880000000000003</v>
      </c>
      <c r="G60">
        <v>39.83</v>
      </c>
      <c r="H60">
        <v>38.9</v>
      </c>
      <c r="I60">
        <v>45.38</v>
      </c>
      <c r="J60">
        <v>43.54</v>
      </c>
      <c r="K60">
        <v>39.07</v>
      </c>
      <c r="L60">
        <v>45.87</v>
      </c>
      <c r="M60">
        <v>45.31</v>
      </c>
      <c r="N60">
        <v>46.27</v>
      </c>
      <c r="O60">
        <v>46.74</v>
      </c>
      <c r="P60">
        <v>45.91</v>
      </c>
      <c r="Q60">
        <v>43.78</v>
      </c>
      <c r="S60">
        <f t="shared" si="4"/>
        <v>59</v>
      </c>
      <c r="T60">
        <v>5</v>
      </c>
      <c r="V60">
        <f t="shared" si="31"/>
        <v>325</v>
      </c>
      <c r="X60">
        <v>2407</v>
      </c>
      <c r="Y60">
        <v>119448</v>
      </c>
      <c r="Z60" s="12">
        <f t="shared" si="28"/>
        <v>407.55657600000001</v>
      </c>
      <c r="AA60" s="12">
        <f t="shared" si="29"/>
        <v>1999.4434240000001</v>
      </c>
      <c r="AD60">
        <f t="shared" si="30"/>
        <v>331</v>
      </c>
      <c r="AE60" s="15">
        <f t="shared" si="26"/>
        <v>479.30411199999998</v>
      </c>
      <c r="AF60" s="15">
        <f t="shared" si="27"/>
        <v>21911.695887999998</v>
      </c>
    </row>
    <row r="61" spans="2:32" x14ac:dyDescent="0.2">
      <c r="B61">
        <v>38.409999999999997</v>
      </c>
      <c r="C61">
        <v>46.49</v>
      </c>
      <c r="D61">
        <v>46.76</v>
      </c>
      <c r="E61">
        <v>51.27</v>
      </c>
      <c r="F61">
        <v>49.94</v>
      </c>
      <c r="G61">
        <v>49.95</v>
      </c>
      <c r="H61">
        <v>52.48</v>
      </c>
      <c r="I61">
        <v>55.15</v>
      </c>
      <c r="J61">
        <v>60.21</v>
      </c>
      <c r="K61">
        <v>51.11</v>
      </c>
      <c r="L61">
        <v>58.24</v>
      </c>
      <c r="M61">
        <v>66.930000000000007</v>
      </c>
      <c r="N61">
        <v>70.13</v>
      </c>
      <c r="O61">
        <v>74.56</v>
      </c>
      <c r="P61">
        <v>72.91</v>
      </c>
      <c r="Q61">
        <v>71.09</v>
      </c>
      <c r="S61">
        <f t="shared" si="4"/>
        <v>60</v>
      </c>
      <c r="T61">
        <v>6</v>
      </c>
      <c r="V61">
        <f t="shared" si="31"/>
        <v>326</v>
      </c>
      <c r="X61">
        <v>212</v>
      </c>
      <c r="Y61">
        <v>25784</v>
      </c>
      <c r="Z61" s="12">
        <f t="shared" si="28"/>
        <v>87.975008000000003</v>
      </c>
      <c r="AA61" s="12">
        <f t="shared" si="29"/>
        <v>124.024992</v>
      </c>
      <c r="AD61">
        <f t="shared" si="30"/>
        <v>332</v>
      </c>
      <c r="AE61" s="15">
        <f>Z64</f>
        <v>91.455247999999997</v>
      </c>
      <c r="AF61" s="15">
        <f>AA64</f>
        <v>206.54475200000002</v>
      </c>
    </row>
    <row r="62" spans="2:32" x14ac:dyDescent="0.2">
      <c r="B62">
        <v>1519</v>
      </c>
      <c r="C62">
        <v>1481</v>
      </c>
      <c r="D62">
        <v>1380</v>
      </c>
      <c r="E62">
        <v>1387</v>
      </c>
      <c r="F62">
        <v>1292</v>
      </c>
      <c r="G62">
        <v>1203</v>
      </c>
      <c r="H62">
        <v>1071</v>
      </c>
      <c r="I62">
        <v>1125</v>
      </c>
      <c r="J62">
        <v>1161</v>
      </c>
      <c r="K62">
        <v>932.8</v>
      </c>
      <c r="L62">
        <v>797.3</v>
      </c>
      <c r="M62">
        <v>955</v>
      </c>
      <c r="N62">
        <v>1026</v>
      </c>
      <c r="O62">
        <v>1050</v>
      </c>
      <c r="P62">
        <v>1057</v>
      </c>
      <c r="Q62">
        <v>1042</v>
      </c>
      <c r="S62">
        <f t="shared" si="4"/>
        <v>61</v>
      </c>
      <c r="T62">
        <v>8</v>
      </c>
      <c r="V62">
        <f t="shared" si="31"/>
        <v>327</v>
      </c>
      <c r="X62">
        <v>896</v>
      </c>
      <c r="Y62">
        <v>30755</v>
      </c>
      <c r="Z62" s="12">
        <f t="shared" si="28"/>
        <v>104.93606</v>
      </c>
      <c r="AA62" s="12">
        <f t="shared" si="29"/>
        <v>791.06394</v>
      </c>
      <c r="AD62">
        <f t="shared" si="30"/>
        <v>333</v>
      </c>
      <c r="AE62" s="15">
        <f>0.9*Z65</f>
        <v>87.895508399999997</v>
      </c>
      <c r="AF62" s="15">
        <f>0.9*AA65</f>
        <v>127.2044916</v>
      </c>
    </row>
    <row r="63" spans="2:32" x14ac:dyDescent="0.2">
      <c r="B63">
        <v>340.3</v>
      </c>
      <c r="C63">
        <v>287.7</v>
      </c>
      <c r="D63">
        <v>312</v>
      </c>
      <c r="E63">
        <v>286.5</v>
      </c>
      <c r="F63">
        <v>292.60000000000002</v>
      </c>
      <c r="G63">
        <v>298.39999999999998</v>
      </c>
      <c r="H63">
        <v>226.6</v>
      </c>
      <c r="I63">
        <v>194.2</v>
      </c>
      <c r="J63">
        <v>222.5</v>
      </c>
      <c r="K63">
        <v>211.7</v>
      </c>
      <c r="L63">
        <v>165.3</v>
      </c>
      <c r="M63">
        <v>173.9</v>
      </c>
      <c r="N63">
        <v>186.9</v>
      </c>
      <c r="O63">
        <v>178.5</v>
      </c>
      <c r="P63">
        <v>182.5</v>
      </c>
      <c r="Q63">
        <v>187.1</v>
      </c>
      <c r="S63">
        <f t="shared" si="4"/>
        <v>62</v>
      </c>
      <c r="T63">
        <v>8</v>
      </c>
      <c r="V63">
        <f t="shared" si="31"/>
        <v>331</v>
      </c>
      <c r="X63">
        <v>22391</v>
      </c>
      <c r="Y63">
        <v>140476</v>
      </c>
      <c r="Z63" s="12">
        <f t="shared" si="28"/>
        <v>479.30411199999998</v>
      </c>
      <c r="AA63" s="12">
        <f t="shared" si="29"/>
        <v>21911.695887999998</v>
      </c>
      <c r="AD63">
        <f t="shared" si="30"/>
        <v>334</v>
      </c>
      <c r="AE63">
        <f>0.1*Z65+0.35*Z67+0.5*Z66</f>
        <v>59.5622604</v>
      </c>
      <c r="AF63">
        <f>0.1*AA65+0.35*AA67+0.5*AA66</f>
        <v>73.987739599999998</v>
      </c>
    </row>
    <row r="64" spans="2:32" x14ac:dyDescent="0.2">
      <c r="B64">
        <v>23.44</v>
      </c>
      <c r="C64">
        <v>21.99</v>
      </c>
      <c r="D64">
        <v>20.75</v>
      </c>
      <c r="E64">
        <v>19.190000000000001</v>
      </c>
      <c r="F64">
        <v>18.649999999999999</v>
      </c>
      <c r="G64">
        <v>36.229999999999997</v>
      </c>
      <c r="H64">
        <v>33.01</v>
      </c>
      <c r="I64">
        <v>33.39</v>
      </c>
      <c r="J64">
        <v>43.36</v>
      </c>
      <c r="K64">
        <v>37.340000000000003</v>
      </c>
      <c r="L64">
        <v>35.590000000000003</v>
      </c>
      <c r="M64">
        <v>38.090000000000003</v>
      </c>
      <c r="N64">
        <v>36.950000000000003</v>
      </c>
      <c r="O64">
        <v>44.87</v>
      </c>
      <c r="P64">
        <v>46.33</v>
      </c>
      <c r="Q64">
        <v>47.23</v>
      </c>
      <c r="S64">
        <f t="shared" si="4"/>
        <v>63</v>
      </c>
      <c r="T64">
        <v>8</v>
      </c>
      <c r="V64">
        <f t="shared" si="31"/>
        <v>332</v>
      </c>
      <c r="X64">
        <v>298</v>
      </c>
      <c r="Y64">
        <v>26804</v>
      </c>
      <c r="Z64" s="12">
        <f t="shared" si="28"/>
        <v>91.455247999999997</v>
      </c>
      <c r="AA64" s="12">
        <f t="shared" si="29"/>
        <v>206.54475200000002</v>
      </c>
      <c r="AD64">
        <f t="shared" si="30"/>
        <v>335</v>
      </c>
      <c r="AE64">
        <f>0.65*Z67</f>
        <v>68.494535200000001</v>
      </c>
      <c r="AF64">
        <f>0.65*AA67</f>
        <v>67.355464799999993</v>
      </c>
    </row>
    <row r="65" spans="1:32" x14ac:dyDescent="0.2">
      <c r="B65">
        <v>125.9</v>
      </c>
      <c r="C65">
        <v>131.69999999999999</v>
      </c>
      <c r="D65">
        <v>125.7</v>
      </c>
      <c r="E65">
        <v>141</v>
      </c>
      <c r="F65">
        <v>137.1</v>
      </c>
      <c r="G65">
        <v>128.9</v>
      </c>
      <c r="H65">
        <v>141.5</v>
      </c>
      <c r="I65">
        <v>159.5</v>
      </c>
      <c r="J65">
        <v>174.2</v>
      </c>
      <c r="K65">
        <v>168.4</v>
      </c>
      <c r="L65">
        <v>169.3</v>
      </c>
      <c r="M65">
        <v>182</v>
      </c>
      <c r="N65">
        <v>191.2</v>
      </c>
      <c r="O65">
        <v>191.4</v>
      </c>
      <c r="P65">
        <v>193.3</v>
      </c>
      <c r="Q65">
        <v>190.5</v>
      </c>
      <c r="S65">
        <f t="shared" si="4"/>
        <v>64</v>
      </c>
      <c r="T65">
        <v>8</v>
      </c>
      <c r="V65">
        <f t="shared" si="31"/>
        <v>333</v>
      </c>
      <c r="X65">
        <v>239</v>
      </c>
      <c r="Y65">
        <v>28623</v>
      </c>
      <c r="Z65" s="12">
        <f t="shared" si="28"/>
        <v>97.661676</v>
      </c>
      <c r="AA65" s="12">
        <f t="shared" si="29"/>
        <v>141.338324</v>
      </c>
      <c r="AD65">
        <f t="shared" si="30"/>
        <v>336</v>
      </c>
      <c r="AE65" s="15">
        <f>Z68</f>
        <v>111.80100400000001</v>
      </c>
      <c r="AF65" s="15">
        <f>AA68</f>
        <v>205.19899599999999</v>
      </c>
    </row>
    <row r="66" spans="1:32" x14ac:dyDescent="0.2">
      <c r="B66">
        <v>22.21</v>
      </c>
      <c r="C66">
        <v>22.55</v>
      </c>
      <c r="D66">
        <v>18.61</v>
      </c>
      <c r="E66">
        <v>35.35</v>
      </c>
      <c r="F66">
        <v>31.08</v>
      </c>
      <c r="G66">
        <v>35.24</v>
      </c>
      <c r="H66">
        <v>44.72</v>
      </c>
      <c r="I66">
        <v>41.93</v>
      </c>
      <c r="J66">
        <v>39.31</v>
      </c>
      <c r="K66">
        <v>30.51</v>
      </c>
      <c r="L66">
        <v>29.17</v>
      </c>
      <c r="M66">
        <v>35.19</v>
      </c>
      <c r="N66">
        <v>38.770000000000003</v>
      </c>
      <c r="O66">
        <v>42.18</v>
      </c>
      <c r="P66">
        <v>44.5</v>
      </c>
      <c r="Q66">
        <v>44.98</v>
      </c>
      <c r="S66">
        <f t="shared" si="4"/>
        <v>65</v>
      </c>
      <c r="T66">
        <v>8</v>
      </c>
      <c r="V66">
        <f t="shared" si="31"/>
        <v>334</v>
      </c>
      <c r="W66">
        <v>38</v>
      </c>
      <c r="X66">
        <v>73</v>
      </c>
      <c r="Y66">
        <v>7570</v>
      </c>
      <c r="Z66" s="12">
        <f t="shared" si="28"/>
        <v>25.82884</v>
      </c>
      <c r="AA66" s="12">
        <f t="shared" si="29"/>
        <v>47.17116</v>
      </c>
      <c r="AD66">
        <f t="shared" si="30"/>
        <v>337</v>
      </c>
      <c r="AE66" s="15">
        <f>Z69</f>
        <v>14.39864</v>
      </c>
      <c r="AF66" s="15">
        <f>AA69</f>
        <v>33.60136</v>
      </c>
    </row>
    <row r="67" spans="1:32" x14ac:dyDescent="0.2">
      <c r="B67">
        <v>146.5</v>
      </c>
      <c r="C67">
        <v>165.7</v>
      </c>
      <c r="D67">
        <v>155</v>
      </c>
      <c r="E67">
        <v>160.4</v>
      </c>
      <c r="F67">
        <v>142.80000000000001</v>
      </c>
      <c r="G67">
        <v>152.19999999999999</v>
      </c>
      <c r="H67">
        <v>125.7</v>
      </c>
      <c r="I67">
        <v>138.4</v>
      </c>
      <c r="J67">
        <v>132.69999999999999</v>
      </c>
      <c r="K67">
        <v>117.3</v>
      </c>
      <c r="L67">
        <v>112.3</v>
      </c>
      <c r="M67">
        <v>105.7</v>
      </c>
      <c r="N67">
        <v>99.49</v>
      </c>
      <c r="O67">
        <v>115.6</v>
      </c>
      <c r="P67">
        <v>115.9</v>
      </c>
      <c r="Q67">
        <v>114.2</v>
      </c>
      <c r="S67">
        <f t="shared" si="4"/>
        <v>66</v>
      </c>
      <c r="T67">
        <v>8</v>
      </c>
      <c r="V67">
        <f t="shared" si="31"/>
        <v>335</v>
      </c>
      <c r="X67">
        <v>209</v>
      </c>
      <c r="Y67">
        <v>30884</v>
      </c>
      <c r="Z67" s="12">
        <f t="shared" si="28"/>
        <v>105.37620800000001</v>
      </c>
      <c r="AA67" s="12">
        <f t="shared" si="29"/>
        <v>103.62379199999999</v>
      </c>
      <c r="AD67">
        <f t="shared" si="30"/>
        <v>339</v>
      </c>
      <c r="AE67">
        <f>Z70+0.5*Z66</f>
        <v>23.7987</v>
      </c>
      <c r="AF67">
        <f>AA70+0.5*AA66</f>
        <v>43.701300000000003</v>
      </c>
    </row>
    <row r="68" spans="1:32" x14ac:dyDescent="0.2">
      <c r="B68">
        <v>89.18</v>
      </c>
      <c r="C68">
        <v>88.6</v>
      </c>
      <c r="D68">
        <v>90.46</v>
      </c>
      <c r="E68">
        <v>89.82</v>
      </c>
      <c r="F68">
        <v>96.55</v>
      </c>
      <c r="G68">
        <v>99.34</v>
      </c>
      <c r="H68">
        <v>99.68</v>
      </c>
      <c r="I68">
        <v>108.9</v>
      </c>
      <c r="J68">
        <v>107</v>
      </c>
      <c r="K68">
        <v>96.65</v>
      </c>
      <c r="L68">
        <v>102.9</v>
      </c>
      <c r="M68">
        <v>100.7</v>
      </c>
      <c r="N68">
        <v>109.6</v>
      </c>
      <c r="O68">
        <v>97.81</v>
      </c>
      <c r="P68">
        <v>94.21</v>
      </c>
      <c r="Q68">
        <v>102.6</v>
      </c>
      <c r="S68">
        <f t="shared" ref="S68:S76" si="32">S67+1</f>
        <v>67</v>
      </c>
      <c r="T68">
        <v>8</v>
      </c>
      <c r="V68">
        <f t="shared" si="31"/>
        <v>336</v>
      </c>
      <c r="X68">
        <v>317</v>
      </c>
      <c r="Y68">
        <v>32767</v>
      </c>
      <c r="Z68" s="12">
        <f t="shared" si="28"/>
        <v>111.80100400000001</v>
      </c>
      <c r="AA68" s="12">
        <f t="shared" si="29"/>
        <v>205.19899599999999</v>
      </c>
      <c r="AE68" s="15">
        <f>SUM(AE50:AE67)</f>
        <v>2173.2290439999992</v>
      </c>
      <c r="AF68" s="15">
        <f>SUM(AF50:AF67)</f>
        <v>31441.770956</v>
      </c>
    </row>
    <row r="69" spans="1:32" x14ac:dyDescent="0.2">
      <c r="B69">
        <v>9.4789999999999992</v>
      </c>
      <c r="C69">
        <v>9.9870000000000001</v>
      </c>
      <c r="D69">
        <v>14.91</v>
      </c>
      <c r="E69">
        <v>11.16</v>
      </c>
      <c r="F69">
        <v>11.77</v>
      </c>
      <c r="G69">
        <v>10.87</v>
      </c>
      <c r="H69">
        <v>9.8450000000000006</v>
      </c>
      <c r="I69">
        <v>16.57</v>
      </c>
      <c r="J69">
        <v>12.73</v>
      </c>
      <c r="K69">
        <v>12.53</v>
      </c>
      <c r="L69">
        <v>14.02</v>
      </c>
      <c r="M69">
        <v>14.06</v>
      </c>
      <c r="N69">
        <v>17.03</v>
      </c>
      <c r="O69">
        <v>13.44</v>
      </c>
      <c r="P69">
        <v>12.4</v>
      </c>
      <c r="Q69">
        <v>13.23</v>
      </c>
      <c r="S69">
        <f t="shared" si="32"/>
        <v>68</v>
      </c>
      <c r="T69">
        <v>8</v>
      </c>
      <c r="V69">
        <f t="shared" si="31"/>
        <v>337</v>
      </c>
      <c r="X69">
        <v>48</v>
      </c>
      <c r="Y69">
        <v>4220</v>
      </c>
      <c r="Z69" s="12">
        <f t="shared" si="28"/>
        <v>14.39864</v>
      </c>
      <c r="AA69" s="12">
        <f t="shared" si="29"/>
        <v>33.60136</v>
      </c>
    </row>
    <row r="70" spans="1:32" x14ac:dyDescent="0.2">
      <c r="B70">
        <v>105.4</v>
      </c>
      <c r="C70">
        <v>113.8</v>
      </c>
      <c r="D70">
        <v>108.5</v>
      </c>
      <c r="E70">
        <v>112</v>
      </c>
      <c r="F70">
        <v>85.26</v>
      </c>
      <c r="G70">
        <v>82.65</v>
      </c>
      <c r="H70">
        <v>80.739999999999995</v>
      </c>
      <c r="I70">
        <v>82.05</v>
      </c>
      <c r="J70">
        <v>83.14</v>
      </c>
      <c r="K70">
        <v>75.41</v>
      </c>
      <c r="L70">
        <v>77.19</v>
      </c>
      <c r="M70">
        <v>79.930000000000007</v>
      </c>
      <c r="N70">
        <v>79.16</v>
      </c>
      <c r="O70">
        <v>78.150000000000006</v>
      </c>
      <c r="P70">
        <v>74.510000000000005</v>
      </c>
      <c r="Q70">
        <v>71.03</v>
      </c>
      <c r="S70">
        <f t="shared" si="32"/>
        <v>69</v>
      </c>
      <c r="T70">
        <v>8</v>
      </c>
      <c r="V70">
        <f t="shared" si="31"/>
        <v>339</v>
      </c>
      <c r="X70">
        <v>31</v>
      </c>
      <c r="Y70">
        <v>3190</v>
      </c>
      <c r="Z70" s="12">
        <f t="shared" si="28"/>
        <v>10.88428</v>
      </c>
      <c r="AA70" s="12">
        <f t="shared" si="29"/>
        <v>20.11572</v>
      </c>
    </row>
    <row r="71" spans="1:32" x14ac:dyDescent="0.2">
      <c r="B71">
        <v>2780</v>
      </c>
      <c r="C71">
        <v>2866</v>
      </c>
      <c r="D71">
        <v>2847</v>
      </c>
      <c r="E71">
        <v>2800</v>
      </c>
      <c r="F71">
        <v>2692</v>
      </c>
      <c r="G71">
        <v>2262</v>
      </c>
      <c r="H71">
        <v>2240</v>
      </c>
      <c r="I71">
        <v>2266</v>
      </c>
      <c r="J71">
        <v>2295</v>
      </c>
      <c r="K71">
        <v>2322</v>
      </c>
      <c r="L71">
        <v>2074</v>
      </c>
      <c r="M71">
        <v>1642</v>
      </c>
      <c r="N71">
        <v>1739</v>
      </c>
      <c r="O71">
        <v>1820</v>
      </c>
      <c r="P71">
        <v>2120</v>
      </c>
      <c r="Q71">
        <v>2055</v>
      </c>
      <c r="S71">
        <f t="shared" si="32"/>
        <v>70</v>
      </c>
      <c r="T71">
        <v>7</v>
      </c>
      <c r="X71" s="15">
        <f>SUM(X50:X70)</f>
        <v>33615</v>
      </c>
      <c r="Y71" s="15">
        <f>SUM(Y50:Y70)</f>
        <v>636937</v>
      </c>
      <c r="Z71" s="15">
        <f>SUM(Z50:Z70)</f>
        <v>2173.2290439999997</v>
      </c>
      <c r="AA71" s="15">
        <f>SUM(AA50:AA70)</f>
        <v>31441.770956</v>
      </c>
    </row>
    <row r="72" spans="1:32" x14ac:dyDescent="0.2">
      <c r="B72">
        <v>12.12</v>
      </c>
      <c r="C72">
        <v>12.7</v>
      </c>
      <c r="D72">
        <v>12.57</v>
      </c>
      <c r="E72">
        <v>12.65</v>
      </c>
      <c r="F72">
        <v>12.03</v>
      </c>
      <c r="G72">
        <v>12.23</v>
      </c>
      <c r="H72">
        <v>10.88</v>
      </c>
      <c r="I72">
        <v>8.625</v>
      </c>
      <c r="J72">
        <v>9.6649999999999991</v>
      </c>
      <c r="K72">
        <v>7.806</v>
      </c>
      <c r="L72">
        <v>10.74</v>
      </c>
      <c r="M72">
        <v>7.54</v>
      </c>
      <c r="N72">
        <v>8.2520000000000007</v>
      </c>
      <c r="O72">
        <v>8.2759999999999998</v>
      </c>
      <c r="P72">
        <v>7.5650000000000004</v>
      </c>
      <c r="Q72">
        <v>9.3040000000000003</v>
      </c>
      <c r="S72">
        <f t="shared" si="32"/>
        <v>71</v>
      </c>
      <c r="T72">
        <v>7</v>
      </c>
      <c r="V72">
        <v>1988</v>
      </c>
      <c r="W72" t="s">
        <v>38</v>
      </c>
      <c r="AD72" t="s">
        <v>39</v>
      </c>
    </row>
    <row r="73" spans="1:32" ht="45.75" thickBot="1" x14ac:dyDescent="0.25">
      <c r="B73">
        <v>45.04</v>
      </c>
      <c r="C73">
        <v>54.63</v>
      </c>
      <c r="D73">
        <v>64.64</v>
      </c>
      <c r="E73">
        <v>60.88</v>
      </c>
      <c r="F73">
        <v>56.18</v>
      </c>
      <c r="G73">
        <v>47.61</v>
      </c>
      <c r="H73">
        <v>52.04</v>
      </c>
      <c r="I73">
        <v>55.36</v>
      </c>
      <c r="J73">
        <v>46.79</v>
      </c>
      <c r="K73">
        <v>46.91</v>
      </c>
      <c r="L73">
        <v>56.01</v>
      </c>
      <c r="M73">
        <v>52.19</v>
      </c>
      <c r="N73">
        <v>56.46</v>
      </c>
      <c r="O73">
        <v>49.43</v>
      </c>
      <c r="P73">
        <v>48.12</v>
      </c>
      <c r="Q73">
        <v>47.19</v>
      </c>
      <c r="S73">
        <f t="shared" si="32"/>
        <v>72</v>
      </c>
      <c r="T73">
        <v>7</v>
      </c>
      <c r="X73" s="10" t="s">
        <v>33</v>
      </c>
      <c r="Y73" s="11" t="s">
        <v>34</v>
      </c>
      <c r="Z73" s="11" t="s">
        <v>35</v>
      </c>
      <c r="AA73" s="11" t="s">
        <v>36</v>
      </c>
      <c r="AB73" s="13" t="s">
        <v>37</v>
      </c>
      <c r="AE73" s="17" t="s">
        <v>35</v>
      </c>
      <c r="AF73" s="17" t="s">
        <v>36</v>
      </c>
    </row>
    <row r="74" spans="1:32" x14ac:dyDescent="0.2">
      <c r="B74">
        <v>166.2</v>
      </c>
      <c r="C74">
        <v>189.1</v>
      </c>
      <c r="D74">
        <v>177.2</v>
      </c>
      <c r="E74">
        <v>164.9</v>
      </c>
      <c r="F74">
        <v>143.9</v>
      </c>
      <c r="G74">
        <v>138.6</v>
      </c>
      <c r="H74">
        <v>131.69999999999999</v>
      </c>
      <c r="I74">
        <v>139.1</v>
      </c>
      <c r="J74">
        <v>140.80000000000001</v>
      </c>
      <c r="K74">
        <v>124.2</v>
      </c>
      <c r="L74">
        <v>134.1</v>
      </c>
      <c r="M74">
        <v>153.9</v>
      </c>
      <c r="N74">
        <v>153.19999999999999</v>
      </c>
      <c r="O74">
        <v>167</v>
      </c>
      <c r="P74">
        <v>151.4</v>
      </c>
      <c r="Q74">
        <v>145.9</v>
      </c>
      <c r="S74">
        <f t="shared" si="32"/>
        <v>73</v>
      </c>
      <c r="T74">
        <v>9</v>
      </c>
      <c r="V74" s="2">
        <v>311</v>
      </c>
      <c r="W74">
        <v>20</v>
      </c>
      <c r="X74" s="12">
        <v>996</v>
      </c>
      <c r="Y74" s="12">
        <v>50206</v>
      </c>
      <c r="Z74" s="12">
        <f>Y74*3.412*0.001</f>
        <v>171.30287200000001</v>
      </c>
      <c r="AA74" s="12">
        <f>X74-Z74</f>
        <v>824.69712800000002</v>
      </c>
      <c r="AB74" s="14">
        <f>X74-Y74-P74-Q74-R74</f>
        <v>-49507.3</v>
      </c>
      <c r="AD74" t="s">
        <v>12</v>
      </c>
      <c r="AE74" s="15">
        <f>Z74+Z75</f>
        <v>174.25084000000001</v>
      </c>
      <c r="AF74" s="15">
        <f>AA74+AA75</f>
        <v>845.74916000000007</v>
      </c>
    </row>
    <row r="75" spans="1:32" x14ac:dyDescent="0.2">
      <c r="B75">
        <v>11.52</v>
      </c>
      <c r="C75">
        <v>12.11</v>
      </c>
      <c r="D75">
        <v>10.78</v>
      </c>
      <c r="E75">
        <v>9.984</v>
      </c>
      <c r="F75">
        <v>9.4480000000000004</v>
      </c>
      <c r="G75">
        <v>9.3160000000000007</v>
      </c>
      <c r="H75">
        <v>8.7119999999999997</v>
      </c>
      <c r="I75">
        <v>9.61</v>
      </c>
      <c r="J75">
        <v>8.0150000000000006</v>
      </c>
      <c r="K75">
        <v>7.0609999999999999</v>
      </c>
      <c r="L75">
        <v>7.2889999999999997</v>
      </c>
      <c r="M75">
        <v>6.7830000000000004</v>
      </c>
      <c r="N75">
        <v>7.2809999999999997</v>
      </c>
      <c r="O75">
        <v>4.4580000000000002</v>
      </c>
      <c r="P75">
        <v>3.7</v>
      </c>
      <c r="Q75">
        <v>3.6120000000000001</v>
      </c>
      <c r="S75">
        <f t="shared" si="32"/>
        <v>74</v>
      </c>
      <c r="T75">
        <v>3</v>
      </c>
      <c r="V75" s="2">
        <v>312</v>
      </c>
      <c r="W75">
        <v>21</v>
      </c>
      <c r="X75" s="12">
        <v>24</v>
      </c>
      <c r="Y75" s="12">
        <v>864</v>
      </c>
      <c r="Z75" s="12">
        <f>Y75*3.412*0.001</f>
        <v>2.9479679999999999</v>
      </c>
      <c r="AA75" s="12">
        <f>X75-Z75</f>
        <v>21.052032000000001</v>
      </c>
      <c r="AB75" s="14">
        <f>X75-Y75-P75-Q75-R75</f>
        <v>-847.31200000000001</v>
      </c>
      <c r="AD75" t="s">
        <v>13</v>
      </c>
      <c r="AE75" s="15">
        <f>Z76</f>
        <v>101.46605599999999</v>
      </c>
      <c r="AF75" s="15">
        <f>AA76</f>
        <v>173.53394400000002</v>
      </c>
    </row>
    <row r="76" spans="1:32" x14ac:dyDescent="0.2">
      <c r="B76">
        <v>4.9939999999999998</v>
      </c>
      <c r="C76">
        <v>4.8869999999999996</v>
      </c>
      <c r="D76">
        <v>5.298</v>
      </c>
      <c r="E76">
        <v>5.1319999999999997</v>
      </c>
      <c r="F76">
        <v>4.7089999999999996</v>
      </c>
      <c r="G76">
        <v>3.4670000000000001</v>
      </c>
      <c r="H76">
        <v>3.657</v>
      </c>
      <c r="I76">
        <v>3.9780000000000002</v>
      </c>
      <c r="J76">
        <v>3.3239999999999998</v>
      </c>
      <c r="K76">
        <v>3.0249999999999999</v>
      </c>
      <c r="L76">
        <v>3.274</v>
      </c>
      <c r="M76">
        <v>3.073</v>
      </c>
      <c r="N76">
        <v>3.11</v>
      </c>
      <c r="O76">
        <v>3.0339999999999998</v>
      </c>
      <c r="P76">
        <v>2.5169999999999999</v>
      </c>
      <c r="Q76">
        <v>2.762</v>
      </c>
      <c r="S76">
        <f t="shared" si="32"/>
        <v>75</v>
      </c>
      <c r="T76">
        <v>3</v>
      </c>
      <c r="V76" s="2">
        <v>313</v>
      </c>
      <c r="W76">
        <v>22</v>
      </c>
      <c r="X76" s="12">
        <v>275</v>
      </c>
      <c r="Y76" s="12">
        <f>29738</f>
        <v>29738</v>
      </c>
      <c r="Z76" s="12">
        <f>Y76*3.412*0.001</f>
        <v>101.46605599999999</v>
      </c>
      <c r="AA76" s="12">
        <f>X76-Z76</f>
        <v>173.53394400000002</v>
      </c>
      <c r="AB76" s="14">
        <f>X76-Z76-P76-Q76-R76</f>
        <v>168.25494400000002</v>
      </c>
      <c r="AD76" t="s">
        <v>14</v>
      </c>
      <c r="AE76" s="15">
        <f>Z78+Z79</f>
        <v>27.4666</v>
      </c>
      <c r="AF76" s="15">
        <f>AA78+AA79</f>
        <v>42.5334</v>
      </c>
    </row>
    <row r="77" spans="1:32" x14ac:dyDescent="0.2">
      <c r="A77" t="s">
        <v>0</v>
      </c>
      <c r="B77" t="s">
        <v>1</v>
      </c>
      <c r="V77">
        <v>314</v>
      </c>
      <c r="AB77" s="3"/>
      <c r="AD77">
        <v>321</v>
      </c>
      <c r="AE77" s="15">
        <f>Z80</f>
        <v>56.062572000000003</v>
      </c>
      <c r="AF77" s="15">
        <f>AA80</f>
        <v>347.93742800000001</v>
      </c>
    </row>
    <row r="78" spans="1:32" x14ac:dyDescent="0.2">
      <c r="V78">
        <v>315</v>
      </c>
      <c r="W78">
        <v>23</v>
      </c>
      <c r="X78">
        <v>54</v>
      </c>
      <c r="Y78">
        <v>6659</v>
      </c>
      <c r="Z78" s="12">
        <f>Y78*3.412*0.001</f>
        <v>22.720507999999999</v>
      </c>
      <c r="AA78" s="12">
        <f>X78-Z78</f>
        <v>31.279492000000001</v>
      </c>
      <c r="AB78" s="14">
        <f>X78-Z78-P78-Q78-R78</f>
        <v>31.279492000000001</v>
      </c>
      <c r="AD78">
        <f>V81</f>
        <v>322</v>
      </c>
      <c r="AE78" s="15">
        <f t="shared" ref="AE78:AF84" si="33">Z81</f>
        <v>189.424004</v>
      </c>
      <c r="AF78" s="15">
        <f t="shared" si="33"/>
        <v>2157.575996</v>
      </c>
    </row>
    <row r="79" spans="1:32" x14ac:dyDescent="0.2">
      <c r="V79">
        <v>316</v>
      </c>
      <c r="W79">
        <v>31</v>
      </c>
      <c r="X79" s="12">
        <v>16</v>
      </c>
      <c r="Y79">
        <v>1391</v>
      </c>
      <c r="Z79" s="12">
        <f t="shared" ref="Z79:Z94" si="34">Y79*3.412*0.001</f>
        <v>4.746092</v>
      </c>
      <c r="AA79" s="12">
        <f t="shared" ref="AA79:AA94" si="35">X79-Z79</f>
        <v>11.253907999999999</v>
      </c>
      <c r="AD79">
        <f t="shared" ref="AD79:AD91" si="36">V82</f>
        <v>323</v>
      </c>
      <c r="AE79" s="15">
        <f t="shared" si="33"/>
        <v>58.181424</v>
      </c>
      <c r="AF79" s="15">
        <f t="shared" si="33"/>
        <v>56.818576</v>
      </c>
    </row>
    <row r="80" spans="1:32" x14ac:dyDescent="0.2">
      <c r="V80">
        <f>V56</f>
        <v>321</v>
      </c>
      <c r="W80">
        <v>24</v>
      </c>
      <c r="X80" s="12">
        <v>404</v>
      </c>
      <c r="Y80">
        <v>16431</v>
      </c>
      <c r="Z80" s="12">
        <f t="shared" si="34"/>
        <v>56.062572000000003</v>
      </c>
      <c r="AA80" s="12">
        <f t="shared" si="35"/>
        <v>347.93742800000001</v>
      </c>
      <c r="AD80">
        <f t="shared" si="36"/>
        <v>324</v>
      </c>
      <c r="AE80" s="15">
        <f t="shared" si="33"/>
        <v>106.19508800000001</v>
      </c>
      <c r="AF80" s="15">
        <f t="shared" si="33"/>
        <v>3015.8049120000001</v>
      </c>
    </row>
    <row r="81" spans="22:32" x14ac:dyDescent="0.2">
      <c r="V81">
        <f t="shared" ref="V81:V94" si="37">V57</f>
        <v>322</v>
      </c>
      <c r="W81">
        <v>26</v>
      </c>
      <c r="X81" s="12">
        <v>2347</v>
      </c>
      <c r="Y81">
        <v>55517</v>
      </c>
      <c r="Z81" s="12">
        <f t="shared" si="34"/>
        <v>189.424004</v>
      </c>
      <c r="AA81" s="12">
        <f t="shared" si="35"/>
        <v>2157.575996</v>
      </c>
      <c r="AD81">
        <f t="shared" si="36"/>
        <v>325</v>
      </c>
      <c r="AE81" s="15">
        <f t="shared" si="33"/>
        <v>415.76584800000001</v>
      </c>
      <c r="AF81" s="15">
        <f t="shared" si="33"/>
        <v>2446.234152</v>
      </c>
    </row>
    <row r="82" spans="22:32" x14ac:dyDescent="0.2">
      <c r="V82">
        <f t="shared" si="37"/>
        <v>323</v>
      </c>
      <c r="W82">
        <v>27</v>
      </c>
      <c r="X82" s="12">
        <v>115</v>
      </c>
      <c r="Y82">
        <v>17052</v>
      </c>
      <c r="Z82" s="12">
        <f t="shared" si="34"/>
        <v>58.181424</v>
      </c>
      <c r="AA82" s="12">
        <f t="shared" si="35"/>
        <v>56.818576</v>
      </c>
      <c r="AD82">
        <f t="shared" si="36"/>
        <v>326</v>
      </c>
      <c r="AE82" s="15">
        <f t="shared" si="33"/>
        <v>106.792188</v>
      </c>
      <c r="AF82" s="15">
        <f t="shared" si="33"/>
        <v>145.20781199999999</v>
      </c>
    </row>
    <row r="83" spans="22:32" x14ac:dyDescent="0.2">
      <c r="V83">
        <f t="shared" si="37"/>
        <v>324</v>
      </c>
      <c r="X83" s="12">
        <v>3122</v>
      </c>
      <c r="Y83">
        <v>31124</v>
      </c>
      <c r="Z83" s="12">
        <f t="shared" si="34"/>
        <v>106.19508800000001</v>
      </c>
      <c r="AA83" s="12">
        <f t="shared" si="35"/>
        <v>3015.8049120000001</v>
      </c>
      <c r="AD83">
        <f t="shared" si="36"/>
        <v>327</v>
      </c>
      <c r="AE83" s="15">
        <f t="shared" si="33"/>
        <v>115.301716</v>
      </c>
      <c r="AF83" s="15">
        <f t="shared" si="33"/>
        <v>884.69828400000006</v>
      </c>
    </row>
    <row r="84" spans="22:32" x14ac:dyDescent="0.2">
      <c r="V84">
        <f t="shared" si="37"/>
        <v>325</v>
      </c>
      <c r="X84" s="12">
        <v>2862</v>
      </c>
      <c r="Y84">
        <v>121854</v>
      </c>
      <c r="Z84" s="12">
        <f t="shared" si="34"/>
        <v>415.76584800000001</v>
      </c>
      <c r="AA84" s="12">
        <f t="shared" si="35"/>
        <v>2446.234152</v>
      </c>
      <c r="AD84">
        <f t="shared" si="36"/>
        <v>331</v>
      </c>
      <c r="AE84" s="15">
        <f t="shared" si="33"/>
        <v>509.077224</v>
      </c>
      <c r="AF84" s="15">
        <f t="shared" si="33"/>
        <v>2112.9227759999999</v>
      </c>
    </row>
    <row r="85" spans="22:32" x14ac:dyDescent="0.2">
      <c r="V85">
        <f t="shared" si="37"/>
        <v>326</v>
      </c>
      <c r="X85" s="12">
        <v>252</v>
      </c>
      <c r="Y85">
        <v>31299</v>
      </c>
      <c r="Z85" s="12">
        <f t="shared" si="34"/>
        <v>106.792188</v>
      </c>
      <c r="AA85" s="12">
        <f t="shared" si="35"/>
        <v>145.20781199999999</v>
      </c>
      <c r="AD85">
        <f t="shared" si="36"/>
        <v>332</v>
      </c>
      <c r="AE85" s="15">
        <f>Z88</f>
        <v>105.60822400000001</v>
      </c>
      <c r="AF85" s="15">
        <f>AA88</f>
        <v>237.39177599999999</v>
      </c>
    </row>
    <row r="86" spans="22:32" x14ac:dyDescent="0.2">
      <c r="V86">
        <f t="shared" si="37"/>
        <v>327</v>
      </c>
      <c r="X86" s="12">
        <v>1000</v>
      </c>
      <c r="Y86">
        <v>33793</v>
      </c>
      <c r="Z86" s="12">
        <f t="shared" si="34"/>
        <v>115.301716</v>
      </c>
      <c r="AA86" s="12">
        <f t="shared" si="35"/>
        <v>884.69828400000006</v>
      </c>
      <c r="AD86">
        <f t="shared" si="36"/>
        <v>333</v>
      </c>
      <c r="AE86" s="15">
        <f>0.9*Z89</f>
        <v>102.810384</v>
      </c>
      <c r="AF86" s="15">
        <f>0.9*AA89</f>
        <v>145.58961599999998</v>
      </c>
    </row>
    <row r="87" spans="22:32" x14ac:dyDescent="0.2">
      <c r="V87">
        <f t="shared" si="37"/>
        <v>331</v>
      </c>
      <c r="X87" s="12">
        <v>2622</v>
      </c>
      <c r="Y87">
        <v>149202</v>
      </c>
      <c r="Z87" s="12">
        <f t="shared" si="34"/>
        <v>509.077224</v>
      </c>
      <c r="AA87" s="12">
        <f t="shared" si="35"/>
        <v>2112.9227759999999</v>
      </c>
      <c r="AD87">
        <f t="shared" si="36"/>
        <v>334</v>
      </c>
      <c r="AE87">
        <f>0.1*Z89+0.35*Z91+0.5*Z90</f>
        <v>73.931898399999994</v>
      </c>
      <c r="AF87">
        <f>0.1*AA89+0.35*AA91+0.5*AA90</f>
        <v>85.4181016</v>
      </c>
    </row>
    <row r="88" spans="22:32" x14ac:dyDescent="0.2">
      <c r="V88">
        <f t="shared" si="37"/>
        <v>332</v>
      </c>
      <c r="X88" s="12">
        <v>343</v>
      </c>
      <c r="Y88">
        <v>30952</v>
      </c>
      <c r="Z88" s="12">
        <f t="shared" si="34"/>
        <v>105.60822400000001</v>
      </c>
      <c r="AA88" s="12">
        <f t="shared" si="35"/>
        <v>237.39177599999999</v>
      </c>
      <c r="AD88">
        <f t="shared" si="36"/>
        <v>335</v>
      </c>
      <c r="AE88">
        <f>0.65*Z91</f>
        <v>70.6413656</v>
      </c>
      <c r="AF88">
        <f>0.65*AA91</f>
        <v>69.1086344</v>
      </c>
    </row>
    <row r="89" spans="22:32" x14ac:dyDescent="0.2">
      <c r="V89">
        <f t="shared" si="37"/>
        <v>333</v>
      </c>
      <c r="X89" s="12">
        <v>276</v>
      </c>
      <c r="Y89">
        <v>33480</v>
      </c>
      <c r="Z89" s="12">
        <f t="shared" si="34"/>
        <v>114.23376</v>
      </c>
      <c r="AA89" s="12">
        <f t="shared" si="35"/>
        <v>161.76623999999998</v>
      </c>
      <c r="AD89">
        <f t="shared" si="36"/>
        <v>336</v>
      </c>
      <c r="AE89" s="15">
        <f>Z92</f>
        <v>127.20959599999999</v>
      </c>
      <c r="AF89" s="15">
        <f>AA92</f>
        <v>221.79040400000002</v>
      </c>
    </row>
    <row r="90" spans="22:32" x14ac:dyDescent="0.2">
      <c r="V90">
        <f t="shared" si="37"/>
        <v>334</v>
      </c>
      <c r="W90">
        <v>38</v>
      </c>
      <c r="X90" s="12">
        <v>113</v>
      </c>
      <c r="Y90">
        <v>14344</v>
      </c>
      <c r="Z90" s="12">
        <f t="shared" si="34"/>
        <v>48.941727999999998</v>
      </c>
      <c r="AA90" s="12">
        <f t="shared" si="35"/>
        <v>64.058272000000002</v>
      </c>
      <c r="AD90">
        <f t="shared" si="36"/>
        <v>337</v>
      </c>
      <c r="AE90" s="15">
        <f>Z93</f>
        <v>19.281212</v>
      </c>
      <c r="AF90" s="15">
        <f>AA93</f>
        <v>43.718788000000004</v>
      </c>
    </row>
    <row r="91" spans="22:32" x14ac:dyDescent="0.2">
      <c r="V91">
        <f t="shared" si="37"/>
        <v>335</v>
      </c>
      <c r="X91">
        <v>215</v>
      </c>
      <c r="Y91">
        <v>31852</v>
      </c>
      <c r="Z91" s="12">
        <f t="shared" si="34"/>
        <v>108.679024</v>
      </c>
      <c r="AA91" s="12">
        <f t="shared" si="35"/>
        <v>106.320976</v>
      </c>
      <c r="AD91">
        <f t="shared" si="36"/>
        <v>339</v>
      </c>
      <c r="AE91">
        <f>Z94+0.5*Z90</f>
        <v>38.743259999999999</v>
      </c>
      <c r="AF91">
        <f>AA94+0.5*AA90</f>
        <v>58.756740000000001</v>
      </c>
    </row>
    <row r="92" spans="22:32" x14ac:dyDescent="0.2">
      <c r="V92">
        <f t="shared" si="37"/>
        <v>336</v>
      </c>
      <c r="X92" s="12">
        <v>349</v>
      </c>
      <c r="Y92">
        <v>37283</v>
      </c>
      <c r="Z92" s="12">
        <f t="shared" si="34"/>
        <v>127.20959599999999</v>
      </c>
      <c r="AA92" s="12">
        <f t="shared" si="35"/>
        <v>221.79040400000002</v>
      </c>
      <c r="AE92" s="15">
        <f>SUM(AE74:AE91)</f>
        <v>2398.2095000000004</v>
      </c>
      <c r="AF92" s="15">
        <f>SUM(AF74:AF91)</f>
        <v>13090.790500000001</v>
      </c>
    </row>
    <row r="93" spans="22:32" x14ac:dyDescent="0.2">
      <c r="V93">
        <f t="shared" si="37"/>
        <v>337</v>
      </c>
      <c r="X93" s="12">
        <v>63</v>
      </c>
      <c r="Y93">
        <v>5651</v>
      </c>
      <c r="Z93" s="12">
        <f t="shared" si="34"/>
        <v>19.281212</v>
      </c>
      <c r="AA93" s="12">
        <f t="shared" si="35"/>
        <v>43.718788000000004</v>
      </c>
    </row>
    <row r="94" spans="22:32" x14ac:dyDescent="0.2">
      <c r="V94">
        <f t="shared" si="37"/>
        <v>339</v>
      </c>
      <c r="X94" s="12">
        <v>41</v>
      </c>
      <c r="Y94">
        <v>4183</v>
      </c>
      <c r="Z94" s="12">
        <f t="shared" si="34"/>
        <v>14.272395999999999</v>
      </c>
      <c r="AA94" s="12">
        <f t="shared" si="35"/>
        <v>26.727603999999999</v>
      </c>
    </row>
    <row r="95" spans="22:32" x14ac:dyDescent="0.2">
      <c r="X95" s="15">
        <f>SUM(X74:X94)</f>
        <v>15489</v>
      </c>
      <c r="Y95" s="15">
        <f>SUM(Y74:Y94)</f>
        <v>702875</v>
      </c>
      <c r="Z95" s="15">
        <f>SUM(Z74:Z94)</f>
        <v>2398.2094999999999</v>
      </c>
      <c r="AA95" s="15">
        <f>SUM(AA74:AA94)</f>
        <v>13090.790500000003</v>
      </c>
    </row>
    <row r="97" spans="23:35" x14ac:dyDescent="0.2">
      <c r="W97">
        <v>2711</v>
      </c>
      <c r="X97">
        <v>2591.6999999999998</v>
      </c>
      <c r="AA97">
        <v>2485.1</v>
      </c>
      <c r="AB97">
        <v>2556.6</v>
      </c>
      <c r="AC97">
        <v>2598.6</v>
      </c>
      <c r="AD97">
        <v>2435.6999999999998</v>
      </c>
      <c r="AE97">
        <v>2837.7</v>
      </c>
      <c r="AF97">
        <v>2895.5</v>
      </c>
      <c r="AG97">
        <v>3076.9</v>
      </c>
      <c r="AH97">
        <v>3357.1</v>
      </c>
    </row>
    <row r="98" spans="23:35" x14ac:dyDescent="0.2">
      <c r="W98">
        <v>2721</v>
      </c>
      <c r="X98">
        <v>298.8</v>
      </c>
      <c r="AA98">
        <v>283.2</v>
      </c>
      <c r="AB98">
        <v>346</v>
      </c>
      <c r="AC98">
        <v>467.4</v>
      </c>
      <c r="AD98">
        <v>565.6</v>
      </c>
      <c r="AE98">
        <v>394</v>
      </c>
      <c r="AF98">
        <v>441.7</v>
      </c>
      <c r="AG98">
        <v>425</v>
      </c>
      <c r="AH98">
        <v>471.2</v>
      </c>
    </row>
    <row r="99" spans="23:35" x14ac:dyDescent="0.2">
      <c r="W99">
        <v>2731</v>
      </c>
      <c r="X99">
        <v>267.60000000000002</v>
      </c>
      <c r="AA99">
        <v>257.3</v>
      </c>
      <c r="AB99">
        <v>246.4</v>
      </c>
      <c r="AC99">
        <v>236.9</v>
      </c>
      <c r="AD99">
        <v>238.2</v>
      </c>
      <c r="AE99">
        <v>314.7</v>
      </c>
      <c r="AF99">
        <v>299.10000000000002</v>
      </c>
      <c r="AG99">
        <v>310.89999999999998</v>
      </c>
      <c r="AH99">
        <v>321.39999999999998</v>
      </c>
    </row>
    <row r="100" spans="23:35" x14ac:dyDescent="0.2">
      <c r="W100" t="s">
        <v>4</v>
      </c>
      <c r="X100">
        <f>SUM(X97:X99)</f>
        <v>3158.1</v>
      </c>
      <c r="AA100">
        <f>SUM(AA97:AA99)</f>
        <v>3025.6</v>
      </c>
      <c r="AB100">
        <f t="shared" ref="AB100:AH100" si="38">SUM(AB97:AB99)</f>
        <v>3149</v>
      </c>
      <c r="AC100">
        <f t="shared" si="38"/>
        <v>3302.9</v>
      </c>
      <c r="AD100">
        <f t="shared" si="38"/>
        <v>3239.4999999999995</v>
      </c>
      <c r="AE100">
        <f t="shared" si="38"/>
        <v>3546.3999999999996</v>
      </c>
      <c r="AF100">
        <f t="shared" si="38"/>
        <v>3636.2999999999997</v>
      </c>
      <c r="AG100">
        <f t="shared" si="38"/>
        <v>3812.8</v>
      </c>
      <c r="AH100">
        <f t="shared" si="38"/>
        <v>4149.7</v>
      </c>
    </row>
    <row r="101" spans="23:35" x14ac:dyDescent="0.2">
      <c r="W101" t="s">
        <v>5</v>
      </c>
      <c r="X101">
        <f>3.412*X100*0.001</f>
        <v>10.775437200000001</v>
      </c>
      <c r="Y101">
        <f t="shared" ref="Y101:AH101" si="39">3.412*Y100*0.001</f>
        <v>0</v>
      </c>
      <c r="Z101">
        <f t="shared" si="39"/>
        <v>0</v>
      </c>
      <c r="AA101">
        <f t="shared" si="39"/>
        <v>10.323347200000001</v>
      </c>
      <c r="AB101">
        <f t="shared" si="39"/>
        <v>10.744387999999999</v>
      </c>
      <c r="AC101">
        <f t="shared" si="39"/>
        <v>11.2694948</v>
      </c>
      <c r="AD101">
        <f t="shared" si="39"/>
        <v>11.053173999999999</v>
      </c>
      <c r="AE101">
        <f t="shared" si="39"/>
        <v>12.100316799999998</v>
      </c>
      <c r="AF101">
        <f t="shared" si="39"/>
        <v>12.4070556</v>
      </c>
      <c r="AG101">
        <f t="shared" si="39"/>
        <v>13.0092736</v>
      </c>
      <c r="AH101">
        <f t="shared" si="39"/>
        <v>14.158776399999999</v>
      </c>
    </row>
    <row r="102" spans="23:35" x14ac:dyDescent="0.2">
      <c r="W102" t="s">
        <v>6</v>
      </c>
      <c r="X102">
        <f>X101/X7</f>
        <v>0.23177967734996774</v>
      </c>
      <c r="Y102">
        <f>0.33*X102+0.67*AA102</f>
        <v>0.2149863448670993</v>
      </c>
      <c r="Z102">
        <f>0.33*X102+0.67*AA102</f>
        <v>0.2149863448670993</v>
      </c>
      <c r="AA102">
        <f t="shared" ref="AA102:AH102" si="40">AA101/AA7</f>
        <v>0.20671500200240289</v>
      </c>
      <c r="AB102">
        <f t="shared" si="40"/>
        <v>0.21510286286286284</v>
      </c>
      <c r="AC102">
        <f t="shared" si="40"/>
        <v>0.21473884908536586</v>
      </c>
      <c r="AD102">
        <f t="shared" si="40"/>
        <v>0.20042019945602899</v>
      </c>
      <c r="AE102">
        <f t="shared" si="40"/>
        <v>0.20096855671815309</v>
      </c>
      <c r="AF102">
        <f t="shared" si="40"/>
        <v>0.2427520172177656</v>
      </c>
      <c r="AG102">
        <f t="shared" si="40"/>
        <v>0.22337351648351647</v>
      </c>
      <c r="AH102">
        <f t="shared" si="40"/>
        <v>0.21154603914537573</v>
      </c>
    </row>
    <row r="103" spans="23:35" x14ac:dyDescent="0.2">
      <c r="X103">
        <f>X101</f>
        <v>10.775437200000001</v>
      </c>
      <c r="Y103">
        <f>Y102*Y7</f>
        <v>10.052761485985563</v>
      </c>
      <c r="Z103">
        <f>Z102*Z7</f>
        <v>11.022349901336183</v>
      </c>
      <c r="AA103">
        <f>AA101</f>
        <v>10.323347200000001</v>
      </c>
      <c r="AB103">
        <f t="shared" ref="AB103:AH103" si="41">AB101</f>
        <v>10.744387999999999</v>
      </c>
      <c r="AC103">
        <f t="shared" si="41"/>
        <v>11.2694948</v>
      </c>
      <c r="AD103">
        <f t="shared" si="41"/>
        <v>11.053173999999999</v>
      </c>
      <c r="AE103">
        <f t="shared" si="41"/>
        <v>12.100316799999998</v>
      </c>
      <c r="AF103">
        <f t="shared" si="41"/>
        <v>12.4070556</v>
      </c>
      <c r="AG103">
        <f t="shared" si="41"/>
        <v>13.0092736</v>
      </c>
      <c r="AH103">
        <f t="shared" si="41"/>
        <v>14.158776399999999</v>
      </c>
    </row>
    <row r="104" spans="23:35" x14ac:dyDescent="0.2">
      <c r="W104" t="s">
        <v>7</v>
      </c>
      <c r="X104">
        <f t="shared" ref="X104:AH104" si="42">X7-X103</f>
        <v>35.714562800000003</v>
      </c>
      <c r="Y104">
        <f t="shared" si="42"/>
        <v>36.707238514014435</v>
      </c>
      <c r="Z104">
        <f t="shared" si="42"/>
        <v>40.247650098663819</v>
      </c>
      <c r="AA104">
        <f t="shared" si="42"/>
        <v>39.616652799999997</v>
      </c>
      <c r="AB104">
        <f t="shared" si="42"/>
        <v>39.205612000000002</v>
      </c>
      <c r="AC104">
        <f t="shared" si="42"/>
        <v>41.2105052</v>
      </c>
      <c r="AD104">
        <f t="shared" si="42"/>
        <v>44.096826</v>
      </c>
      <c r="AE104">
        <f t="shared" si="42"/>
        <v>48.109683200000006</v>
      </c>
      <c r="AF104">
        <f t="shared" si="42"/>
        <v>38.7029444</v>
      </c>
      <c r="AG104">
        <f t="shared" si="42"/>
        <v>45.230726400000002</v>
      </c>
      <c r="AH104">
        <f t="shared" si="42"/>
        <v>52.771223600000006</v>
      </c>
    </row>
    <row r="106" spans="23:35" x14ac:dyDescent="0.2">
      <c r="X106">
        <f t="shared" ref="X106:AG106" si="43">X1</f>
        <v>1977</v>
      </c>
      <c r="Y106">
        <f t="shared" si="43"/>
        <v>1978</v>
      </c>
      <c r="Z106">
        <f t="shared" si="43"/>
        <v>1979</v>
      </c>
      <c r="AA106">
        <f t="shared" si="43"/>
        <v>1980</v>
      </c>
      <c r="AB106">
        <f t="shared" si="43"/>
        <v>1981</v>
      </c>
      <c r="AC106">
        <f t="shared" si="43"/>
        <v>1982</v>
      </c>
      <c r="AD106">
        <f t="shared" si="43"/>
        <v>1983</v>
      </c>
      <c r="AE106">
        <f t="shared" si="43"/>
        <v>1984</v>
      </c>
      <c r="AF106">
        <f t="shared" si="43"/>
        <v>1985</v>
      </c>
      <c r="AG106">
        <f t="shared" si="43"/>
        <v>1986</v>
      </c>
      <c r="AH106">
        <v>1987</v>
      </c>
    </row>
    <row r="107" spans="23:35" x14ac:dyDescent="0.2">
      <c r="W107" s="2" t="s">
        <v>8</v>
      </c>
    </row>
    <row r="108" spans="23:35" x14ac:dyDescent="0.2">
      <c r="W108">
        <v>384</v>
      </c>
      <c r="X108">
        <v>1166.2</v>
      </c>
      <c r="Y108" s="3">
        <f>0.67*X108+0.33*AA108</f>
        <v>1216.8879999999999</v>
      </c>
      <c r="Z108" s="3">
        <f>0.33*X108+0.67*AA108</f>
        <v>1269.1120000000001</v>
      </c>
      <c r="AA108">
        <v>1319.8</v>
      </c>
      <c r="AB108">
        <v>1372.7</v>
      </c>
      <c r="AC108">
        <v>1476.9</v>
      </c>
      <c r="AD108">
        <v>1592.8</v>
      </c>
      <c r="AE108">
        <v>1720</v>
      </c>
      <c r="AF108">
        <v>1793.5</v>
      </c>
      <c r="AG108">
        <v>1906.6</v>
      </c>
      <c r="AH108">
        <f>1093.5+985.1+135.3</f>
        <v>2213.9</v>
      </c>
    </row>
    <row r="109" spans="23:35" x14ac:dyDescent="0.2">
      <c r="W109">
        <v>385</v>
      </c>
      <c r="X109">
        <v>268.89999999999998</v>
      </c>
      <c r="Y109" s="3">
        <f>0.67*X109+0.33*AA109</f>
        <v>266.887</v>
      </c>
      <c r="Z109" s="3">
        <f>0.33*X109+0.67*AA109</f>
        <v>264.81299999999999</v>
      </c>
      <c r="AA109">
        <v>262.8</v>
      </c>
      <c r="AB109">
        <v>255.5</v>
      </c>
      <c r="AC109">
        <v>263.3</v>
      </c>
      <c r="AD109">
        <v>235.9</v>
      </c>
      <c r="AE109">
        <v>297.5</v>
      </c>
      <c r="AF109">
        <v>272.2</v>
      </c>
      <c r="AG109">
        <v>281</v>
      </c>
      <c r="AH109">
        <v>287.39999999999998</v>
      </c>
    </row>
    <row r="110" spans="23:35" x14ac:dyDescent="0.2">
      <c r="X110">
        <f>SUM(X108:X109)</f>
        <v>1435.1</v>
      </c>
      <c r="Y110">
        <f t="shared" ref="Y110:AH110" si="44">SUM(Y108:Y109)</f>
        <v>1483.7749999999999</v>
      </c>
      <c r="Z110">
        <f t="shared" si="44"/>
        <v>1533.9250000000002</v>
      </c>
      <c r="AA110">
        <f t="shared" si="44"/>
        <v>1582.6</v>
      </c>
      <c r="AB110">
        <f t="shared" si="44"/>
        <v>1628.2</v>
      </c>
      <c r="AC110">
        <f t="shared" si="44"/>
        <v>1740.2</v>
      </c>
      <c r="AD110">
        <f t="shared" si="44"/>
        <v>1828.7</v>
      </c>
      <c r="AE110">
        <f t="shared" si="44"/>
        <v>2017.5</v>
      </c>
      <c r="AF110">
        <f t="shared" si="44"/>
        <v>2065.6999999999998</v>
      </c>
      <c r="AG110">
        <f t="shared" si="44"/>
        <v>2187.6</v>
      </c>
      <c r="AH110">
        <f t="shared" si="44"/>
        <v>2501.3000000000002</v>
      </c>
    </row>
    <row r="111" spans="23:35" x14ac:dyDescent="0.2">
      <c r="X111" s="5">
        <f>3.412*X110*0.001</f>
        <v>4.8965611999999989</v>
      </c>
      <c r="Y111" s="5">
        <f t="shared" ref="Y111:AH111" si="45">3.412*Y110*0.001</f>
        <v>5.0626402999999991</v>
      </c>
      <c r="Z111" s="5">
        <f t="shared" si="45"/>
        <v>5.2337521000000011</v>
      </c>
      <c r="AA111" s="5">
        <f t="shared" si="45"/>
        <v>5.3998311999999995</v>
      </c>
      <c r="AB111" s="5">
        <f t="shared" si="45"/>
        <v>5.5554184000000006</v>
      </c>
      <c r="AC111" s="5">
        <f t="shared" si="45"/>
        <v>5.9375624</v>
      </c>
      <c r="AD111" s="5">
        <f t="shared" si="45"/>
        <v>6.2395244000000005</v>
      </c>
      <c r="AE111" s="5">
        <f t="shared" si="45"/>
        <v>6.8837099999999998</v>
      </c>
      <c r="AF111" s="5">
        <f t="shared" si="45"/>
        <v>7.0481683999999998</v>
      </c>
      <c r="AG111" s="5">
        <f t="shared" si="45"/>
        <v>7.4640912000000004</v>
      </c>
      <c r="AH111" s="5">
        <f t="shared" si="45"/>
        <v>8.5344356000000001</v>
      </c>
      <c r="AI111" s="5"/>
    </row>
    <row r="112" spans="23:35" x14ac:dyDescent="0.2">
      <c r="W112" t="s">
        <v>10</v>
      </c>
      <c r="X112" s="5">
        <f t="shared" ref="X112:AH112" si="46">X38-X111</f>
        <v>72.678438800000009</v>
      </c>
      <c r="Y112" s="5">
        <f t="shared" si="46"/>
        <v>78.107359699999989</v>
      </c>
      <c r="Z112" s="5">
        <f t="shared" si="46"/>
        <v>72.836247900000004</v>
      </c>
      <c r="AA112" s="5">
        <f t="shared" si="46"/>
        <v>72.280168800000013</v>
      </c>
      <c r="AB112" s="5">
        <f t="shared" si="46"/>
        <v>68.744581600000004</v>
      </c>
      <c r="AC112" s="5">
        <f t="shared" si="46"/>
        <v>77.012437599999998</v>
      </c>
      <c r="AD112" s="5">
        <f t="shared" si="46"/>
        <v>78.070475600000009</v>
      </c>
      <c r="AE112" s="5">
        <f t="shared" si="46"/>
        <v>78.32629</v>
      </c>
      <c r="AF112" s="5">
        <f t="shared" si="46"/>
        <v>94.876119200000019</v>
      </c>
      <c r="AG112" s="5">
        <f t="shared" si="46"/>
        <v>99.118258799999992</v>
      </c>
      <c r="AH112" s="5">
        <f t="shared" si="46"/>
        <v>105.55943240000001</v>
      </c>
      <c r="AI112" s="5"/>
    </row>
    <row r="113" spans="22:45" x14ac:dyDescent="0.2">
      <c r="W113" t="s">
        <v>11</v>
      </c>
      <c r="X113" s="5">
        <f t="shared" ref="X113:AH113" si="47">X42+X111</f>
        <v>35.606561200000002</v>
      </c>
      <c r="Y113" s="5">
        <f t="shared" si="47"/>
        <v>37.2326403</v>
      </c>
      <c r="Z113" s="5">
        <f t="shared" si="47"/>
        <v>36.173752100000002</v>
      </c>
      <c r="AA113" s="5">
        <f t="shared" si="47"/>
        <v>34.4798312</v>
      </c>
      <c r="AB113" s="5">
        <f t="shared" si="47"/>
        <v>32.2754184</v>
      </c>
      <c r="AC113" s="5">
        <f t="shared" si="47"/>
        <v>28.917562400000001</v>
      </c>
      <c r="AD113" s="5">
        <f t="shared" si="47"/>
        <v>31.049524399999999</v>
      </c>
      <c r="AE113" s="5">
        <f t="shared" si="47"/>
        <v>31.26371</v>
      </c>
      <c r="AF113" s="5">
        <f t="shared" si="47"/>
        <v>18.941718000000002</v>
      </c>
      <c r="AG113" s="5">
        <f t="shared" si="47"/>
        <v>19.592045200000001</v>
      </c>
      <c r="AH113" s="5">
        <f t="shared" si="47"/>
        <v>24.3555384</v>
      </c>
      <c r="AI113" s="5"/>
    </row>
    <row r="115" spans="22:45" x14ac:dyDescent="0.2">
      <c r="W115" t="s">
        <v>15</v>
      </c>
    </row>
    <row r="116" spans="22:45" x14ac:dyDescent="0.2">
      <c r="W116">
        <v>3465</v>
      </c>
      <c r="X116">
        <v>2996.1</v>
      </c>
      <c r="Y116" s="3">
        <f>0.67*X116+0.33*AA116</f>
        <v>2833.6080000000002</v>
      </c>
      <c r="Z116" s="3">
        <f>0.33*X116+0.67*AA116</f>
        <v>2666.192</v>
      </c>
      <c r="AA116">
        <v>2503.6999999999998</v>
      </c>
      <c r="AB116">
        <v>2453.4</v>
      </c>
      <c r="AC116">
        <v>2427.5</v>
      </c>
      <c r="AD116">
        <v>2781.7</v>
      </c>
      <c r="AE116">
        <v>5457</v>
      </c>
      <c r="AF116">
        <v>2967</v>
      </c>
      <c r="AG116">
        <v>3010.6</v>
      </c>
      <c r="AH116">
        <v>3454.6</v>
      </c>
    </row>
    <row r="117" spans="22:45" x14ac:dyDescent="0.2">
      <c r="X117" s="5">
        <f>3.412*X116*0.001</f>
        <v>10.2226932</v>
      </c>
      <c r="Y117" s="5">
        <f t="shared" ref="Y117:AH117" si="48">3.412*Y116*0.001</f>
        <v>9.6682704960000017</v>
      </c>
      <c r="Z117" s="5">
        <f t="shared" si="48"/>
        <v>9.0970471039999996</v>
      </c>
      <c r="AA117" s="5">
        <f t="shared" si="48"/>
        <v>8.5426243999999993</v>
      </c>
      <c r="AB117" s="5">
        <f t="shared" si="48"/>
        <v>8.3710007999999991</v>
      </c>
      <c r="AC117" s="5">
        <f t="shared" si="48"/>
        <v>8.2826299999999993</v>
      </c>
      <c r="AD117" s="5">
        <f t="shared" si="48"/>
        <v>9.4911603999999983</v>
      </c>
      <c r="AE117" s="5">
        <f t="shared" si="48"/>
        <v>18.619284</v>
      </c>
      <c r="AF117" s="5">
        <f t="shared" si="48"/>
        <v>10.123404000000001</v>
      </c>
      <c r="AG117" s="5">
        <f t="shared" si="48"/>
        <v>10.2721672</v>
      </c>
      <c r="AH117" s="5">
        <f t="shared" si="48"/>
        <v>11.7870952</v>
      </c>
      <c r="AI117" s="5"/>
    </row>
    <row r="118" spans="22:45" x14ac:dyDescent="0.2">
      <c r="W118" t="s">
        <v>19</v>
      </c>
      <c r="X118" s="5">
        <f t="shared" ref="X118:AH118" si="49">X36-X117</f>
        <v>273.43730680000004</v>
      </c>
      <c r="Y118" s="5">
        <f t="shared" si="49"/>
        <v>283.781729504</v>
      </c>
      <c r="Z118" s="5">
        <f t="shared" si="49"/>
        <v>274.46295289599999</v>
      </c>
      <c r="AA118" s="5">
        <f t="shared" si="49"/>
        <v>254.80737560000003</v>
      </c>
      <c r="AB118" s="5">
        <f t="shared" si="49"/>
        <v>245.30899920000002</v>
      </c>
      <c r="AC118" s="5">
        <f t="shared" si="49"/>
        <v>242.07737</v>
      </c>
      <c r="AD118" s="5">
        <f t="shared" si="49"/>
        <v>241.10883960000001</v>
      </c>
      <c r="AE118" s="5">
        <f t="shared" si="49"/>
        <v>231.570716</v>
      </c>
      <c r="AF118" s="5">
        <f t="shared" si="49"/>
        <v>85.324225200000001</v>
      </c>
      <c r="AG118" s="5">
        <f t="shared" si="49"/>
        <v>83.012936400000001</v>
      </c>
      <c r="AH118" s="5">
        <f t="shared" si="49"/>
        <v>95.515869199999983</v>
      </c>
      <c r="AI118" s="5"/>
    </row>
    <row r="119" spans="22:45" x14ac:dyDescent="0.2">
      <c r="V119" s="2" t="s">
        <v>12</v>
      </c>
      <c r="X119" s="5"/>
      <c r="Y119" s="5"/>
      <c r="Z119" s="5"/>
      <c r="AA119" s="5"/>
      <c r="AB119" s="5"/>
      <c r="AC119" s="5"/>
      <c r="AD119" s="5"/>
      <c r="AE119" s="5"/>
      <c r="AF119" s="5"/>
      <c r="AG119" s="5"/>
      <c r="AH119" s="5"/>
      <c r="AI119" s="5"/>
      <c r="AK119" s="5">
        <f>38291*3.412*0.001</f>
        <v>130.64889199999999</v>
      </c>
      <c r="AL119" t="s">
        <v>18</v>
      </c>
    </row>
    <row r="120" spans="22:45" x14ac:dyDescent="0.2">
      <c r="V120" s="2" t="s">
        <v>13</v>
      </c>
      <c r="AR120">
        <f>52449.2*3.412*0.001</f>
        <v>178.95667039999998</v>
      </c>
      <c r="AS120" t="e">
        <f>#REF!/AR120*#REF!</f>
        <v>#REF!</v>
      </c>
    </row>
    <row r="121" spans="22:45" x14ac:dyDescent="0.2">
      <c r="V121" s="2" t="s">
        <v>14</v>
      </c>
      <c r="W121">
        <v>3592</v>
      </c>
      <c r="X121">
        <v>810.3</v>
      </c>
      <c r="Y121" s="3">
        <f>0.67*X121+0.33*AA121</f>
        <v>812.24699999999996</v>
      </c>
      <c r="Z121" s="3">
        <f>0.33*X121+0.67*AA121</f>
        <v>814.25300000000004</v>
      </c>
      <c r="AA121">
        <v>816.2</v>
      </c>
      <c r="AB121">
        <v>837.2</v>
      </c>
      <c r="AC121">
        <v>784.1</v>
      </c>
      <c r="AD121">
        <v>837.7</v>
      </c>
      <c r="AE121">
        <v>898.6</v>
      </c>
      <c r="AF121">
        <v>875.2</v>
      </c>
      <c r="AG121">
        <v>814.8</v>
      </c>
      <c r="AH121">
        <v>638.79999999999995</v>
      </c>
    </row>
    <row r="122" spans="22:45" x14ac:dyDescent="0.2">
      <c r="V122">
        <v>321</v>
      </c>
      <c r="X122" s="5">
        <f>3.412*X121*0.001</f>
        <v>2.7647435999999996</v>
      </c>
      <c r="Y122" s="5">
        <f t="shared" ref="Y122:AH122" si="50">3.412*Y121*0.001</f>
        <v>2.7713867639999998</v>
      </c>
      <c r="Z122" s="5">
        <f t="shared" si="50"/>
        <v>2.7782312360000003</v>
      </c>
      <c r="AA122" s="5">
        <f t="shared" si="50"/>
        <v>2.7848744000000001</v>
      </c>
      <c r="AB122" s="5">
        <f t="shared" si="50"/>
        <v>2.8565264000000004</v>
      </c>
      <c r="AC122" s="5">
        <f t="shared" si="50"/>
        <v>2.6753492000000003</v>
      </c>
      <c r="AD122" s="5">
        <f t="shared" si="50"/>
        <v>2.8582323999999999</v>
      </c>
      <c r="AE122" s="5">
        <f t="shared" si="50"/>
        <v>3.0660232000000001</v>
      </c>
      <c r="AF122" s="5">
        <f t="shared" si="50"/>
        <v>2.9861824000000001</v>
      </c>
      <c r="AG122" s="5">
        <f t="shared" si="50"/>
        <v>2.7800975999999995</v>
      </c>
      <c r="AH122" s="5">
        <f t="shared" si="50"/>
        <v>2.1795855999999998</v>
      </c>
      <c r="AI122" s="5"/>
    </row>
    <row r="123" spans="22:45" x14ac:dyDescent="0.2">
      <c r="V123">
        <v>322</v>
      </c>
      <c r="W123" t="s">
        <v>17</v>
      </c>
      <c r="X123" s="5">
        <f t="shared" ref="X123:AH123" si="51">X37-X122</f>
        <v>244.33425639999999</v>
      </c>
      <c r="Y123" s="5">
        <f t="shared" si="51"/>
        <v>252.36761323599998</v>
      </c>
      <c r="Z123" s="5">
        <f t="shared" si="51"/>
        <v>255.69776876399999</v>
      </c>
      <c r="AA123" s="5">
        <f t="shared" si="51"/>
        <v>240.36112560000001</v>
      </c>
      <c r="AB123" s="5">
        <f t="shared" si="51"/>
        <v>225.4314736</v>
      </c>
      <c r="AC123" s="5">
        <f t="shared" si="51"/>
        <v>221.0616508</v>
      </c>
      <c r="AD123" s="5">
        <f t="shared" si="51"/>
        <v>212.42576760000003</v>
      </c>
      <c r="AE123" s="5">
        <f t="shared" si="51"/>
        <v>210.11597680000003</v>
      </c>
      <c r="AF123" s="5">
        <f t="shared" si="51"/>
        <v>88.423003600000015</v>
      </c>
      <c r="AG123" s="5">
        <f t="shared" si="51"/>
        <v>86.901933999999983</v>
      </c>
      <c r="AH123" s="5">
        <f t="shared" si="51"/>
        <v>98.510581600000023</v>
      </c>
      <c r="AI123" s="5"/>
    </row>
    <row r="124" spans="22:45" x14ac:dyDescent="0.2">
      <c r="V124">
        <v>323</v>
      </c>
      <c r="X124" s="5"/>
      <c r="Y124" s="5"/>
      <c r="Z124" s="5"/>
      <c r="AA124" s="5"/>
      <c r="AB124" s="5"/>
      <c r="AC124" s="5"/>
      <c r="AD124" s="5"/>
      <c r="AE124" s="5"/>
      <c r="AF124" s="5"/>
      <c r="AG124" s="5"/>
      <c r="AH124" s="5"/>
      <c r="AI124" s="5"/>
    </row>
    <row r="125" spans="22:45" x14ac:dyDescent="0.2">
      <c r="V125">
        <v>324</v>
      </c>
    </row>
    <row r="126" spans="22:45" x14ac:dyDescent="0.2">
      <c r="V126">
        <v>325</v>
      </c>
      <c r="W126">
        <v>3647</v>
      </c>
      <c r="X126">
        <v>369</v>
      </c>
      <c r="Y126" s="3">
        <f>0.67*X126+0.33*AA126</f>
        <v>344.67900000000003</v>
      </c>
      <c r="Z126" s="3">
        <f>0.33*X126+0.67*AA126</f>
        <v>319.62100000000004</v>
      </c>
      <c r="AA126">
        <v>295.3</v>
      </c>
      <c r="AB126">
        <v>301.5</v>
      </c>
      <c r="AC126">
        <v>298.8</v>
      </c>
      <c r="AD126">
        <v>329.3</v>
      </c>
      <c r="AE126">
        <v>365.4</v>
      </c>
      <c r="AF126">
        <v>366.4</v>
      </c>
      <c r="AG126">
        <v>410.1</v>
      </c>
      <c r="AH126">
        <v>423.9</v>
      </c>
    </row>
    <row r="127" spans="22:45" x14ac:dyDescent="0.2">
      <c r="V127">
        <v>326</v>
      </c>
      <c r="W127">
        <v>3694</v>
      </c>
      <c r="X127">
        <v>908</v>
      </c>
      <c r="Y127" s="3">
        <f>0.67*X127+0.33*AA127</f>
        <v>851.53700000000003</v>
      </c>
      <c r="Z127" s="3">
        <f>0.33*X127+0.67*AA127</f>
        <v>793.36300000000006</v>
      </c>
      <c r="AA127">
        <v>736.9</v>
      </c>
      <c r="AB127">
        <v>721.9</v>
      </c>
      <c r="AC127">
        <v>588.79999999999995</v>
      </c>
      <c r="AD127">
        <v>682.5</v>
      </c>
      <c r="AE127">
        <v>791</v>
      </c>
      <c r="AF127">
        <v>778.2</v>
      </c>
      <c r="AG127">
        <v>788.9</v>
      </c>
      <c r="AH127">
        <v>1169.2</v>
      </c>
    </row>
    <row r="128" spans="22:45" x14ac:dyDescent="0.2">
      <c r="V128">
        <v>327</v>
      </c>
      <c r="X128">
        <f>SUM(X126:X127)</f>
        <v>1277</v>
      </c>
      <c r="Y128">
        <f t="shared" ref="Y128:AH128" si="52">SUM(Y126:Y127)</f>
        <v>1196.2160000000001</v>
      </c>
      <c r="Z128">
        <f t="shared" si="52"/>
        <v>1112.9840000000002</v>
      </c>
      <c r="AA128">
        <f t="shared" si="52"/>
        <v>1032.2</v>
      </c>
      <c r="AB128">
        <f t="shared" si="52"/>
        <v>1023.4</v>
      </c>
      <c r="AC128">
        <f t="shared" si="52"/>
        <v>887.59999999999991</v>
      </c>
      <c r="AD128">
        <f t="shared" si="52"/>
        <v>1011.8</v>
      </c>
      <c r="AE128">
        <f t="shared" si="52"/>
        <v>1156.4000000000001</v>
      </c>
      <c r="AF128">
        <f t="shared" si="52"/>
        <v>1144.5999999999999</v>
      </c>
      <c r="AG128">
        <f t="shared" si="52"/>
        <v>1199</v>
      </c>
      <c r="AH128">
        <f t="shared" si="52"/>
        <v>1593.1</v>
      </c>
    </row>
    <row r="129" spans="22:35" x14ac:dyDescent="0.2">
      <c r="V129">
        <v>331</v>
      </c>
      <c r="X129" s="5">
        <f>3.412*X128*0.001</f>
        <v>4.3571239999999998</v>
      </c>
      <c r="Y129" s="5">
        <f t="shared" ref="Y129:AH129" si="53">3.412*Y128*0.001</f>
        <v>4.0814889920000006</v>
      </c>
      <c r="Z129" s="5">
        <f t="shared" si="53"/>
        <v>3.7975014080000005</v>
      </c>
      <c r="AA129" s="5">
        <f t="shared" si="53"/>
        <v>3.5218664</v>
      </c>
      <c r="AB129" s="5">
        <f t="shared" si="53"/>
        <v>3.4918407999999999</v>
      </c>
      <c r="AC129" s="5">
        <f t="shared" si="53"/>
        <v>3.0284911999999995</v>
      </c>
      <c r="AD129" s="5">
        <f t="shared" si="53"/>
        <v>3.4522615999999999</v>
      </c>
      <c r="AE129" s="5">
        <f t="shared" si="53"/>
        <v>3.9456368000000004</v>
      </c>
      <c r="AF129" s="5">
        <f t="shared" si="53"/>
        <v>3.9053751999999995</v>
      </c>
      <c r="AG129" s="5">
        <f t="shared" si="53"/>
        <v>4.0909880000000003</v>
      </c>
      <c r="AH129" s="5">
        <f t="shared" si="53"/>
        <v>5.4356571999999996</v>
      </c>
      <c r="AI129" s="5"/>
    </row>
    <row r="130" spans="22:35" x14ac:dyDescent="0.2">
      <c r="V130">
        <v>332</v>
      </c>
      <c r="W130" t="s">
        <v>16</v>
      </c>
      <c r="X130" s="5">
        <f t="shared" ref="X130:AH130" si="54">X39-X129</f>
        <v>94.892876000000001</v>
      </c>
      <c r="Y130" s="5">
        <f t="shared" si="54"/>
        <v>96.948511007999983</v>
      </c>
      <c r="Z130" s="5">
        <f t="shared" si="54"/>
        <v>97.632498592000005</v>
      </c>
      <c r="AA130" s="5">
        <f t="shared" si="54"/>
        <v>88.608133600000016</v>
      </c>
      <c r="AB130" s="5">
        <f t="shared" si="54"/>
        <v>84.088159199999993</v>
      </c>
      <c r="AC130" s="5">
        <f t="shared" si="54"/>
        <v>80.021508799999992</v>
      </c>
      <c r="AD130" s="5">
        <f t="shared" si="54"/>
        <v>83.617738399999993</v>
      </c>
      <c r="AE130" s="5">
        <f t="shared" si="54"/>
        <v>80.704363199999989</v>
      </c>
      <c r="AF130" s="5">
        <f t="shared" si="54"/>
        <v>43.0567104</v>
      </c>
      <c r="AG130" s="5">
        <f t="shared" si="54"/>
        <v>43.779372000000002</v>
      </c>
      <c r="AH130" s="5">
        <f t="shared" si="54"/>
        <v>45.316819199999998</v>
      </c>
      <c r="AI130" s="5"/>
    </row>
    <row r="131" spans="22:35" x14ac:dyDescent="0.2">
      <c r="V131">
        <v>333</v>
      </c>
    </row>
    <row r="132" spans="22:35" x14ac:dyDescent="0.2">
      <c r="V132">
        <v>334</v>
      </c>
      <c r="W132" t="s">
        <v>20</v>
      </c>
      <c r="X132" s="5">
        <f t="shared" ref="X132:AH132" si="55">X40+X117+X122+X129</f>
        <v>278.19556079999995</v>
      </c>
      <c r="Y132" s="5">
        <f t="shared" si="55"/>
        <v>285.74714625199999</v>
      </c>
      <c r="Z132" s="5">
        <f t="shared" si="55"/>
        <v>269.86177974800006</v>
      </c>
      <c r="AA132" s="5">
        <f t="shared" si="55"/>
        <v>236.7783652</v>
      </c>
      <c r="AB132" s="5">
        <f t="shared" si="55"/>
        <v>224.468368</v>
      </c>
      <c r="AC132" s="5">
        <f t="shared" si="55"/>
        <v>207.53247039999999</v>
      </c>
      <c r="AD132" s="5">
        <f t="shared" si="55"/>
        <v>232.71565440000001</v>
      </c>
      <c r="AE132" s="5">
        <f t="shared" si="55"/>
        <v>241.38594399999999</v>
      </c>
      <c r="AF132" s="5">
        <f t="shared" si="55"/>
        <v>134.85349959999999</v>
      </c>
      <c r="AG132" s="5">
        <f t="shared" si="55"/>
        <v>139.39896600000003</v>
      </c>
      <c r="AH132" s="5">
        <f t="shared" si="55"/>
        <v>150.05157120000001</v>
      </c>
      <c r="AI132" s="5"/>
    </row>
    <row r="133" spans="22:35" x14ac:dyDescent="0.2">
      <c r="V133">
        <v>335</v>
      </c>
    </row>
    <row r="134" spans="22:35" x14ac:dyDescent="0.2">
      <c r="V134">
        <v>336</v>
      </c>
      <c r="W134" t="s">
        <v>21</v>
      </c>
    </row>
    <row r="135" spans="22:35" x14ac:dyDescent="0.2">
      <c r="V135" t="s">
        <v>150</v>
      </c>
      <c r="W135" s="44">
        <v>321337</v>
      </c>
      <c r="X135" t="s">
        <v>151</v>
      </c>
    </row>
    <row r="138" spans="22:35" x14ac:dyDescent="0.2">
      <c r="W138" s="3" t="s">
        <v>40</v>
      </c>
      <c r="X138" s="3"/>
      <c r="Z138" s="80"/>
      <c r="AA138" s="80"/>
    </row>
    <row r="139" spans="22:35" x14ac:dyDescent="0.2">
      <c r="Z139" s="80"/>
      <c r="AA139" s="80"/>
    </row>
    <row r="140" spans="22:35" ht="13.5" thickBot="1" x14ac:dyDescent="0.25">
      <c r="W140" s="1">
        <v>1985</v>
      </c>
      <c r="X140" s="1">
        <v>1988</v>
      </c>
      <c r="Z140" s="80"/>
      <c r="AA140" s="80"/>
    </row>
    <row r="141" spans="22:35" x14ac:dyDescent="0.2">
      <c r="V141" t="str">
        <f>AD50</f>
        <v>311-312</v>
      </c>
      <c r="W141" s="15">
        <f>AF50</f>
        <v>809.269496</v>
      </c>
      <c r="X141" s="15">
        <f>AF74</f>
        <v>845.74916000000007</v>
      </c>
      <c r="Z141" s="81"/>
      <c r="AA141" s="81"/>
    </row>
    <row r="142" spans="22:35" x14ac:dyDescent="0.2">
      <c r="V142" t="str">
        <f t="shared" ref="V142:V158" si="56">AD51</f>
        <v>313-314</v>
      </c>
      <c r="W142" s="15">
        <f t="shared" ref="W142:W158" si="57">AF51</f>
        <v>160.816576</v>
      </c>
      <c r="X142" s="15">
        <f t="shared" ref="X142:X158" si="58">AF75</f>
        <v>173.53394400000002</v>
      </c>
      <c r="Z142" s="81"/>
      <c r="AA142" s="81"/>
    </row>
    <row r="143" spans="22:35" x14ac:dyDescent="0.2">
      <c r="V143" t="str">
        <f t="shared" si="56"/>
        <v>315-316</v>
      </c>
      <c r="W143" s="15">
        <f t="shared" si="57"/>
        <v>25.656804000000001</v>
      </c>
      <c r="X143" s="15">
        <f t="shared" si="58"/>
        <v>42.5334</v>
      </c>
      <c r="Z143" s="81"/>
      <c r="AA143" s="81"/>
    </row>
    <row r="144" spans="22:35" x14ac:dyDescent="0.2">
      <c r="V144">
        <f t="shared" si="56"/>
        <v>321</v>
      </c>
      <c r="W144" s="15">
        <f t="shared" si="57"/>
        <v>286.07476400000002</v>
      </c>
      <c r="X144" s="15">
        <f t="shared" si="58"/>
        <v>347.93742800000001</v>
      </c>
      <c r="Z144" s="81"/>
      <c r="AA144" s="81"/>
    </row>
    <row r="145" spans="22:27" x14ac:dyDescent="0.2">
      <c r="V145">
        <f t="shared" si="56"/>
        <v>322</v>
      </c>
      <c r="W145" s="15">
        <f t="shared" si="57"/>
        <v>2020.753424</v>
      </c>
      <c r="X145" s="15">
        <f t="shared" si="58"/>
        <v>2157.575996</v>
      </c>
      <c r="Z145" s="81"/>
      <c r="AA145" s="81"/>
    </row>
    <row r="146" spans="22:27" x14ac:dyDescent="0.2">
      <c r="V146">
        <f t="shared" si="56"/>
        <v>323</v>
      </c>
      <c r="W146" s="15">
        <f t="shared" si="57"/>
        <v>37.840192000000002</v>
      </c>
      <c r="X146" s="15">
        <f t="shared" si="58"/>
        <v>56.818576</v>
      </c>
      <c r="Z146" s="81"/>
      <c r="AA146" s="81"/>
    </row>
    <row r="147" spans="22:27" x14ac:dyDescent="0.2">
      <c r="V147">
        <f t="shared" si="56"/>
        <v>324</v>
      </c>
      <c r="W147" s="15">
        <f t="shared" si="57"/>
        <v>2517.5373519999998</v>
      </c>
      <c r="X147" s="15">
        <f t="shared" si="58"/>
        <v>3015.8049120000001</v>
      </c>
      <c r="Z147" s="81"/>
      <c r="AA147" s="81"/>
    </row>
    <row r="148" spans="22:27" x14ac:dyDescent="0.2">
      <c r="V148">
        <f t="shared" si="56"/>
        <v>325</v>
      </c>
      <c r="W148" s="15">
        <f t="shared" si="57"/>
        <v>1999.4434240000001</v>
      </c>
      <c r="X148" s="15">
        <f t="shared" si="58"/>
        <v>2446.234152</v>
      </c>
      <c r="Z148" s="81"/>
      <c r="AA148" s="81"/>
    </row>
    <row r="149" spans="22:27" x14ac:dyDescent="0.2">
      <c r="V149">
        <f t="shared" si="56"/>
        <v>326</v>
      </c>
      <c r="W149" s="15">
        <f t="shared" si="57"/>
        <v>124.024992</v>
      </c>
      <c r="X149" s="15">
        <f t="shared" si="58"/>
        <v>145.20781199999999</v>
      </c>
      <c r="Z149" s="81"/>
      <c r="AA149" s="81"/>
    </row>
    <row r="150" spans="22:27" x14ac:dyDescent="0.2">
      <c r="V150">
        <f t="shared" si="56"/>
        <v>327</v>
      </c>
      <c r="W150" s="15">
        <f t="shared" si="57"/>
        <v>791.06394</v>
      </c>
      <c r="X150" s="15">
        <f t="shared" si="58"/>
        <v>884.69828400000006</v>
      </c>
      <c r="Z150" s="81"/>
      <c r="AA150" s="81"/>
    </row>
    <row r="151" spans="22:27" x14ac:dyDescent="0.2">
      <c r="V151">
        <f t="shared" si="56"/>
        <v>331</v>
      </c>
      <c r="W151" s="15">
        <f t="shared" si="57"/>
        <v>21911.695887999998</v>
      </c>
      <c r="X151" s="15">
        <f t="shared" si="58"/>
        <v>2112.9227759999999</v>
      </c>
      <c r="Z151" s="81"/>
      <c r="AA151" s="81"/>
    </row>
    <row r="152" spans="22:27" x14ac:dyDescent="0.2">
      <c r="V152">
        <f t="shared" si="56"/>
        <v>332</v>
      </c>
      <c r="W152" s="15">
        <f t="shared" si="57"/>
        <v>206.54475200000002</v>
      </c>
      <c r="X152" s="15">
        <f t="shared" si="58"/>
        <v>237.39177599999999</v>
      </c>
      <c r="Z152" s="81"/>
      <c r="AA152" s="81"/>
    </row>
    <row r="153" spans="22:27" x14ac:dyDescent="0.2">
      <c r="V153">
        <f t="shared" si="56"/>
        <v>333</v>
      </c>
      <c r="W153" s="15">
        <f t="shared" si="57"/>
        <v>127.2044916</v>
      </c>
      <c r="X153" s="15">
        <f t="shared" si="58"/>
        <v>145.58961599999998</v>
      </c>
      <c r="Z153" s="81"/>
      <c r="AA153" s="81"/>
    </row>
    <row r="154" spans="22:27" x14ac:dyDescent="0.2">
      <c r="V154">
        <f t="shared" si="56"/>
        <v>334</v>
      </c>
      <c r="W154" s="15">
        <f t="shared" si="57"/>
        <v>73.987739599999998</v>
      </c>
      <c r="X154" s="15">
        <f t="shared" si="58"/>
        <v>85.4181016</v>
      </c>
      <c r="Z154" s="81"/>
      <c r="AA154" s="81"/>
    </row>
    <row r="155" spans="22:27" x14ac:dyDescent="0.2">
      <c r="V155">
        <f t="shared" si="56"/>
        <v>335</v>
      </c>
      <c r="W155" s="15">
        <f t="shared" si="57"/>
        <v>67.355464799999993</v>
      </c>
      <c r="X155" s="15">
        <f t="shared" si="58"/>
        <v>69.1086344</v>
      </c>
      <c r="Z155" s="81"/>
      <c r="AA155" s="81"/>
    </row>
    <row r="156" spans="22:27" x14ac:dyDescent="0.2">
      <c r="V156">
        <f t="shared" si="56"/>
        <v>336</v>
      </c>
      <c r="W156" s="15">
        <f t="shared" si="57"/>
        <v>205.19899599999999</v>
      </c>
      <c r="X156" s="15">
        <f t="shared" si="58"/>
        <v>221.79040400000002</v>
      </c>
      <c r="Z156" s="81"/>
      <c r="AA156" s="81"/>
    </row>
    <row r="157" spans="22:27" x14ac:dyDescent="0.2">
      <c r="V157">
        <f t="shared" si="56"/>
        <v>337</v>
      </c>
      <c r="W157" s="15">
        <f t="shared" si="57"/>
        <v>33.60136</v>
      </c>
      <c r="X157" s="15">
        <f t="shared" si="58"/>
        <v>43.718788000000004</v>
      </c>
      <c r="Z157" s="81"/>
      <c r="AA157" s="81"/>
    </row>
    <row r="158" spans="22:27" x14ac:dyDescent="0.2">
      <c r="V158">
        <f t="shared" si="56"/>
        <v>339</v>
      </c>
      <c r="W158" s="15">
        <f t="shared" si="57"/>
        <v>43.701300000000003</v>
      </c>
      <c r="X158" s="15">
        <f t="shared" si="58"/>
        <v>58.756740000000001</v>
      </c>
      <c r="Z158" s="81"/>
      <c r="AA158" s="81"/>
    </row>
    <row r="191" spans="22:22" x14ac:dyDescent="0.2">
      <c r="V191" t="s">
        <v>27</v>
      </c>
    </row>
    <row r="193" spans="22:37" x14ac:dyDescent="0.2">
      <c r="AK193" t="s">
        <v>28</v>
      </c>
    </row>
    <row r="194" spans="22:37" x14ac:dyDescent="0.2">
      <c r="V194" t="str">
        <f t="shared" ref="V194:AH194" si="59">V25</f>
        <v>311-312</v>
      </c>
      <c r="W194">
        <f t="shared" si="59"/>
        <v>1</v>
      </c>
      <c r="X194">
        <f t="shared" si="59"/>
        <v>803.34</v>
      </c>
      <c r="Y194">
        <f t="shared" si="59"/>
        <v>826.99</v>
      </c>
      <c r="Z194">
        <f t="shared" si="59"/>
        <v>798.23</v>
      </c>
      <c r="AA194">
        <f t="shared" si="59"/>
        <v>793.88</v>
      </c>
      <c r="AB194">
        <f t="shared" si="59"/>
        <v>750.42000000000007</v>
      </c>
      <c r="AC194">
        <f t="shared" si="59"/>
        <v>767.66000000000008</v>
      </c>
      <c r="AD194">
        <f t="shared" si="59"/>
        <v>797.26</v>
      </c>
      <c r="AE194">
        <f t="shared" si="59"/>
        <v>791.18999999999994</v>
      </c>
      <c r="AF194">
        <f t="shared" si="59"/>
        <v>159.61404240000002</v>
      </c>
      <c r="AG194">
        <f t="shared" si="59"/>
        <v>162.34671320000001</v>
      </c>
      <c r="AH194">
        <f t="shared" si="59"/>
        <v>175.813536</v>
      </c>
      <c r="AK194">
        <f t="shared" ref="AK194:AK211" si="60">AK2</f>
        <v>802.14619906513258</v>
      </c>
    </row>
    <row r="195" spans="22:37" x14ac:dyDescent="0.2">
      <c r="V195" t="str">
        <f t="shared" ref="V195:AH195" si="61">V26</f>
        <v>313-314</v>
      </c>
      <c r="W195">
        <f t="shared" si="61"/>
        <v>2</v>
      </c>
      <c r="X195">
        <f t="shared" si="61"/>
        <v>243.11000000000004</v>
      </c>
      <c r="Y195">
        <f t="shared" si="61"/>
        <v>238.7</v>
      </c>
      <c r="Z195">
        <f t="shared" si="61"/>
        <v>225.95999999999998</v>
      </c>
      <c r="AA195">
        <f t="shared" si="61"/>
        <v>208.69300000000001</v>
      </c>
      <c r="AB195">
        <f t="shared" si="61"/>
        <v>203.92000000000002</v>
      </c>
      <c r="AC195">
        <f t="shared" si="61"/>
        <v>180.42699999999999</v>
      </c>
      <c r="AD195">
        <f t="shared" si="61"/>
        <v>202.04899999999998</v>
      </c>
      <c r="AE195">
        <f t="shared" si="61"/>
        <v>198.88</v>
      </c>
      <c r="AF195">
        <f t="shared" si="61"/>
        <v>91.731961199999986</v>
      </c>
      <c r="AG195">
        <f t="shared" si="61"/>
        <v>94.829033600000017</v>
      </c>
      <c r="AH195">
        <f t="shared" si="61"/>
        <v>106.82596680000002</v>
      </c>
      <c r="AK195">
        <f t="shared" si="60"/>
        <v>173.29356197830089</v>
      </c>
    </row>
    <row r="196" spans="22:37" x14ac:dyDescent="0.2">
      <c r="V196" t="str">
        <f t="shared" ref="V196:AH196" si="62">V27</f>
        <v>315-316</v>
      </c>
      <c r="W196">
        <f t="shared" si="62"/>
        <v>3</v>
      </c>
      <c r="X196">
        <f t="shared" si="62"/>
        <v>44.046999999999997</v>
      </c>
      <c r="Y196">
        <f t="shared" si="62"/>
        <v>45.828000000000003</v>
      </c>
      <c r="Z196">
        <f t="shared" si="62"/>
        <v>41.186</v>
      </c>
      <c r="AA196">
        <f t="shared" si="62"/>
        <v>40.207000000000008</v>
      </c>
      <c r="AB196">
        <f t="shared" si="62"/>
        <v>40.092999999999996</v>
      </c>
      <c r="AC196">
        <f t="shared" si="62"/>
        <v>32.198999999999998</v>
      </c>
      <c r="AD196">
        <f t="shared" si="62"/>
        <v>35.008000000000003</v>
      </c>
      <c r="AE196">
        <f t="shared" si="62"/>
        <v>30.838999999999999</v>
      </c>
      <c r="AF196">
        <f t="shared" si="62"/>
        <v>19.829520399999996</v>
      </c>
      <c r="AG196">
        <f t="shared" si="62"/>
        <v>20.001826399999999</v>
      </c>
      <c r="AH196">
        <f t="shared" si="62"/>
        <v>20.253290799999998</v>
      </c>
      <c r="AK196">
        <f t="shared" si="60"/>
        <v>39.968558004688262</v>
      </c>
    </row>
    <row r="197" spans="22:37" x14ac:dyDescent="0.2">
      <c r="V197">
        <f t="shared" ref="V197:AH197" si="63">V28</f>
        <v>321</v>
      </c>
      <c r="W197">
        <f t="shared" si="63"/>
        <v>4</v>
      </c>
      <c r="X197">
        <f t="shared" si="63"/>
        <v>124.69000000000001</v>
      </c>
      <c r="Y197">
        <f t="shared" si="63"/>
        <v>135.23699999999999</v>
      </c>
      <c r="Z197">
        <f t="shared" si="63"/>
        <v>132.91400000000002</v>
      </c>
      <c r="AA197">
        <f t="shared" si="63"/>
        <v>109.61</v>
      </c>
      <c r="AB197">
        <f t="shared" si="63"/>
        <v>92.135999999999996</v>
      </c>
      <c r="AC197">
        <f t="shared" si="63"/>
        <v>69.281000000000006</v>
      </c>
      <c r="AD197">
        <f t="shared" si="63"/>
        <v>73.831000000000003</v>
      </c>
      <c r="AE197">
        <f t="shared" si="63"/>
        <v>72.606999999999999</v>
      </c>
      <c r="AF197">
        <f t="shared" si="63"/>
        <v>57.203885999999997</v>
      </c>
      <c r="AG197">
        <f t="shared" si="63"/>
        <v>60.595755200000006</v>
      </c>
      <c r="AH197">
        <f t="shared" si="63"/>
        <v>70.843356</v>
      </c>
      <c r="AK197">
        <f t="shared" si="60"/>
        <v>306.32525432801117</v>
      </c>
    </row>
    <row r="198" spans="22:37" x14ac:dyDescent="0.2">
      <c r="V198">
        <f t="shared" ref="V198:AH198" si="64">V29</f>
        <v>322</v>
      </c>
      <c r="W198">
        <f t="shared" si="64"/>
        <v>5</v>
      </c>
      <c r="X198">
        <f t="shared" si="64"/>
        <v>1128.6999999999998</v>
      </c>
      <c r="Y198">
        <f t="shared" si="64"/>
        <v>1098.1699999999998</v>
      </c>
      <c r="Z198">
        <f t="shared" si="64"/>
        <v>1090.3700000000001</v>
      </c>
      <c r="AA198">
        <f t="shared" si="64"/>
        <v>1050.3400000000001</v>
      </c>
      <c r="AB198">
        <f t="shared" si="64"/>
        <v>997.98</v>
      </c>
      <c r="AC198">
        <f t="shared" si="64"/>
        <v>952.51</v>
      </c>
      <c r="AD198">
        <f t="shared" si="64"/>
        <v>1034.43</v>
      </c>
      <c r="AE198">
        <f t="shared" si="64"/>
        <v>1047.83</v>
      </c>
      <c r="AF198">
        <f t="shared" si="64"/>
        <v>178.95667040000001</v>
      </c>
      <c r="AG198">
        <f t="shared" si="64"/>
        <v>198.8902568</v>
      </c>
      <c r="AH198">
        <f t="shared" si="64"/>
        <v>202.15315239999998</v>
      </c>
      <c r="AK198">
        <f t="shared" si="60"/>
        <v>2157.1775257724162</v>
      </c>
    </row>
    <row r="199" spans="22:37" x14ac:dyDescent="0.2">
      <c r="V199">
        <f t="shared" ref="V199:W211" si="65">V30</f>
        <v>323</v>
      </c>
      <c r="W199">
        <f t="shared" si="65"/>
        <v>6</v>
      </c>
      <c r="X199" s="9">
        <f t="shared" ref="X199:AH199" si="66">X104</f>
        <v>35.714562800000003</v>
      </c>
      <c r="Y199" s="9">
        <f t="shared" si="66"/>
        <v>36.707238514014435</v>
      </c>
      <c r="Z199" s="9">
        <f t="shared" si="66"/>
        <v>40.247650098663819</v>
      </c>
      <c r="AA199" s="9">
        <f t="shared" si="66"/>
        <v>39.616652799999997</v>
      </c>
      <c r="AB199" s="9">
        <f t="shared" si="66"/>
        <v>39.205612000000002</v>
      </c>
      <c r="AC199" s="9">
        <f t="shared" si="66"/>
        <v>41.2105052</v>
      </c>
      <c r="AD199" s="9">
        <f t="shared" si="66"/>
        <v>44.096826</v>
      </c>
      <c r="AE199" s="9">
        <f t="shared" si="66"/>
        <v>48.109683200000006</v>
      </c>
      <c r="AF199" s="9">
        <f t="shared" si="66"/>
        <v>38.7029444</v>
      </c>
      <c r="AG199" s="9">
        <f t="shared" si="66"/>
        <v>45.230726400000002</v>
      </c>
      <c r="AH199" s="9">
        <f t="shared" si="66"/>
        <v>52.771223600000006</v>
      </c>
      <c r="AI199" s="9"/>
      <c r="AK199">
        <f t="shared" si="60"/>
        <v>53.106496242108548</v>
      </c>
    </row>
    <row r="200" spans="22:37" x14ac:dyDescent="0.2">
      <c r="V200">
        <f t="shared" si="65"/>
        <v>324</v>
      </c>
      <c r="W200">
        <f t="shared" si="65"/>
        <v>7</v>
      </c>
      <c r="X200">
        <f t="shared" ref="X200:AH200" si="67">X31</f>
        <v>2933.33</v>
      </c>
      <c r="Y200">
        <f t="shared" si="67"/>
        <v>2924.21</v>
      </c>
      <c r="Z200">
        <f t="shared" si="67"/>
        <v>2873.53</v>
      </c>
      <c r="AA200">
        <f t="shared" si="67"/>
        <v>2760.21</v>
      </c>
      <c r="AB200">
        <f t="shared" si="67"/>
        <v>2321.84</v>
      </c>
      <c r="AC200">
        <f t="shared" si="67"/>
        <v>2302.92</v>
      </c>
      <c r="AD200">
        <f t="shared" si="67"/>
        <v>2329.9850000000001</v>
      </c>
      <c r="AE200">
        <f t="shared" si="67"/>
        <v>2351.4549999999999</v>
      </c>
      <c r="AF200">
        <f t="shared" si="67"/>
        <v>119.877208</v>
      </c>
      <c r="AG200">
        <f t="shared" si="67"/>
        <v>126.45008479999998</v>
      </c>
      <c r="AH200">
        <f t="shared" si="67"/>
        <v>114.11706960000001</v>
      </c>
      <c r="AK200">
        <f t="shared" si="60"/>
        <v>2883.4906625929257</v>
      </c>
    </row>
    <row r="201" spans="22:37" x14ac:dyDescent="0.2">
      <c r="V201">
        <f t="shared" si="65"/>
        <v>325</v>
      </c>
      <c r="W201">
        <f t="shared" si="65"/>
        <v>8</v>
      </c>
      <c r="X201">
        <f t="shared" ref="X201:AH201" si="68">X32</f>
        <v>2323.027</v>
      </c>
      <c r="Y201">
        <f t="shared" si="68"/>
        <v>2225.9299999999998</v>
      </c>
      <c r="Z201">
        <f t="shared" si="68"/>
        <v>2242.42</v>
      </c>
      <c r="AA201">
        <f t="shared" si="68"/>
        <v>2107.81</v>
      </c>
      <c r="AB201">
        <f t="shared" si="68"/>
        <v>2046.8300000000002</v>
      </c>
      <c r="AC201">
        <f t="shared" si="68"/>
        <v>1832.7950000000001</v>
      </c>
      <c r="AD201">
        <f t="shared" si="68"/>
        <v>1899.9400000000003</v>
      </c>
      <c r="AE201">
        <f t="shared" si="68"/>
        <v>1975.94</v>
      </c>
      <c r="AF201">
        <f t="shared" si="68"/>
        <v>429.44284999999991</v>
      </c>
      <c r="AG201">
        <f t="shared" si="68"/>
        <v>408.37272640000003</v>
      </c>
      <c r="AH201">
        <f t="shared" si="68"/>
        <v>424.05530199999998</v>
      </c>
      <c r="AK201">
        <f t="shared" si="60"/>
        <v>2110.4911256092378</v>
      </c>
    </row>
    <row r="202" spans="22:37" x14ac:dyDescent="0.2">
      <c r="V202">
        <f t="shared" si="65"/>
        <v>326</v>
      </c>
      <c r="W202">
        <f t="shared" si="65"/>
        <v>9</v>
      </c>
      <c r="X202">
        <f t="shared" ref="X202:AH202" si="69">X33</f>
        <v>189.1</v>
      </c>
      <c r="Y202">
        <f t="shared" si="69"/>
        <v>177.2</v>
      </c>
      <c r="Z202">
        <f t="shared" si="69"/>
        <v>164.9</v>
      </c>
      <c r="AA202">
        <f t="shared" si="69"/>
        <v>143.9</v>
      </c>
      <c r="AB202">
        <f t="shared" si="69"/>
        <v>138.6</v>
      </c>
      <c r="AC202">
        <f t="shared" si="69"/>
        <v>131.69999999999999</v>
      </c>
      <c r="AD202">
        <f t="shared" si="69"/>
        <v>139.1</v>
      </c>
      <c r="AE202">
        <f t="shared" si="69"/>
        <v>140.80000000000001</v>
      </c>
      <c r="AF202">
        <f t="shared" si="69"/>
        <v>102.70972999999999</v>
      </c>
      <c r="AG202">
        <f t="shared" si="69"/>
        <v>106.52741680000001</v>
      </c>
      <c r="AH202">
        <f t="shared" si="69"/>
        <v>112.86896</v>
      </c>
      <c r="AK202">
        <f t="shared" si="60"/>
        <v>147.18466748541528</v>
      </c>
    </row>
    <row r="203" spans="22:37" x14ac:dyDescent="0.2">
      <c r="V203">
        <f t="shared" si="65"/>
        <v>327</v>
      </c>
      <c r="W203">
        <f t="shared" si="65"/>
        <v>10</v>
      </c>
      <c r="X203">
        <f t="shared" ref="X203:AH203" si="70">X34</f>
        <v>1121.8</v>
      </c>
      <c r="Y203">
        <f t="shared" si="70"/>
        <v>1135.0999999999999</v>
      </c>
      <c r="Z203">
        <f t="shared" si="70"/>
        <v>1123.8</v>
      </c>
      <c r="AA203">
        <f t="shared" si="70"/>
        <v>996.59999999999991</v>
      </c>
      <c r="AB203">
        <f t="shared" si="70"/>
        <v>950.69999999999993</v>
      </c>
      <c r="AC203">
        <f t="shared" si="70"/>
        <v>794.5</v>
      </c>
      <c r="AD203">
        <f t="shared" si="70"/>
        <v>867.2</v>
      </c>
      <c r="AE203">
        <f t="shared" si="70"/>
        <v>877.2</v>
      </c>
      <c r="AF203">
        <f t="shared" si="70"/>
        <v>104.12332160000001</v>
      </c>
      <c r="AG203">
        <f t="shared" si="70"/>
        <v>107.91610079999998</v>
      </c>
      <c r="AH203">
        <f t="shared" si="70"/>
        <v>113.658838</v>
      </c>
      <c r="AK203">
        <f t="shared" si="60"/>
        <v>850.71748049492828</v>
      </c>
    </row>
    <row r="204" spans="22:37" x14ac:dyDescent="0.2">
      <c r="V204">
        <f t="shared" si="65"/>
        <v>331</v>
      </c>
      <c r="W204">
        <f t="shared" si="65"/>
        <v>11</v>
      </c>
      <c r="X204">
        <f t="shared" ref="X204:AH204" si="71">X35</f>
        <v>3293.7</v>
      </c>
      <c r="Y204">
        <f t="shared" si="71"/>
        <v>3490.9</v>
      </c>
      <c r="Z204">
        <f t="shared" si="71"/>
        <v>3481</v>
      </c>
      <c r="AA204">
        <f t="shared" si="71"/>
        <v>2838.7999999999997</v>
      </c>
      <c r="AB204">
        <f t="shared" si="71"/>
        <v>2791.4900000000002</v>
      </c>
      <c r="AC204">
        <f t="shared" si="71"/>
        <v>1888.06</v>
      </c>
      <c r="AD204">
        <f t="shared" si="71"/>
        <v>2053.3799999999997</v>
      </c>
      <c r="AE204">
        <f t="shared" si="71"/>
        <v>2074.89</v>
      </c>
      <c r="AF204">
        <f t="shared" si="71"/>
        <v>454.3153064</v>
      </c>
      <c r="AG204">
        <f t="shared" si="71"/>
        <v>428.01424559999998</v>
      </c>
      <c r="AH204">
        <f t="shared" si="71"/>
        <v>445.84160439999999</v>
      </c>
      <c r="AK204">
        <f t="shared" si="60"/>
        <v>2081.6435483659652</v>
      </c>
    </row>
    <row r="205" spans="22:37" x14ac:dyDescent="0.2">
      <c r="V205">
        <f t="shared" si="65"/>
        <v>332</v>
      </c>
      <c r="W205">
        <f t="shared" si="65"/>
        <v>12</v>
      </c>
      <c r="X205" s="6">
        <f t="shared" ref="X205:AH205" si="72">X118</f>
        <v>273.43730680000004</v>
      </c>
      <c r="Y205" s="6">
        <f t="shared" si="72"/>
        <v>283.781729504</v>
      </c>
      <c r="Z205" s="6">
        <f t="shared" si="72"/>
        <v>274.46295289599999</v>
      </c>
      <c r="AA205" s="6">
        <f t="shared" si="72"/>
        <v>254.80737560000003</v>
      </c>
      <c r="AB205" s="6">
        <f t="shared" si="72"/>
        <v>245.30899920000002</v>
      </c>
      <c r="AC205" s="6">
        <f t="shared" si="72"/>
        <v>242.07737</v>
      </c>
      <c r="AD205" s="6">
        <f t="shared" si="72"/>
        <v>241.10883960000001</v>
      </c>
      <c r="AE205" s="6">
        <f t="shared" si="72"/>
        <v>231.570716</v>
      </c>
      <c r="AF205" s="6">
        <f t="shared" si="72"/>
        <v>85.324225200000001</v>
      </c>
      <c r="AG205" s="6">
        <f t="shared" si="72"/>
        <v>83.012936400000001</v>
      </c>
      <c r="AH205" s="6">
        <f t="shared" si="72"/>
        <v>95.515869199999983</v>
      </c>
      <c r="AI205" s="6"/>
      <c r="AK205">
        <f t="shared" si="60"/>
        <v>230.09849226724131</v>
      </c>
    </row>
    <row r="206" spans="22:37" x14ac:dyDescent="0.2">
      <c r="V206">
        <f t="shared" si="65"/>
        <v>333</v>
      </c>
      <c r="W206">
        <f t="shared" si="65"/>
        <v>13</v>
      </c>
      <c r="X206">
        <f t="shared" ref="X206:AH206" si="73">X37</f>
        <v>247.09899999999999</v>
      </c>
      <c r="Y206">
        <f t="shared" si="73"/>
        <v>255.13899999999998</v>
      </c>
      <c r="Z206">
        <f t="shared" si="73"/>
        <v>258.476</v>
      </c>
      <c r="AA206">
        <f t="shared" si="73"/>
        <v>243.14600000000002</v>
      </c>
      <c r="AB206">
        <f t="shared" si="73"/>
        <v>228.28800000000001</v>
      </c>
      <c r="AC206">
        <f t="shared" si="73"/>
        <v>223.73699999999999</v>
      </c>
      <c r="AD206">
        <f t="shared" si="73"/>
        <v>215.28400000000002</v>
      </c>
      <c r="AE206">
        <f t="shared" si="73"/>
        <v>213.18200000000002</v>
      </c>
      <c r="AF206">
        <f t="shared" si="73"/>
        <v>91.40918600000002</v>
      </c>
      <c r="AG206">
        <f t="shared" si="73"/>
        <v>89.682031599999988</v>
      </c>
      <c r="AH206">
        <f t="shared" si="73"/>
        <v>100.69016720000002</v>
      </c>
      <c r="AK206">
        <f t="shared" si="60"/>
        <v>158.38153518831595</v>
      </c>
    </row>
    <row r="207" spans="22:37" x14ac:dyDescent="0.2">
      <c r="V207">
        <f t="shared" si="65"/>
        <v>334</v>
      </c>
      <c r="W207">
        <f t="shared" si="65"/>
        <v>14</v>
      </c>
      <c r="X207" s="6">
        <f t="shared" ref="X207:AH207" si="74">X112</f>
        <v>72.678438800000009</v>
      </c>
      <c r="Y207" s="6">
        <f t="shared" si="74"/>
        <v>78.107359699999989</v>
      </c>
      <c r="Z207" s="6">
        <f t="shared" si="74"/>
        <v>72.836247900000004</v>
      </c>
      <c r="AA207" s="6">
        <f t="shared" si="74"/>
        <v>72.280168800000013</v>
      </c>
      <c r="AB207" s="6">
        <f t="shared" si="74"/>
        <v>68.744581600000004</v>
      </c>
      <c r="AC207" s="6">
        <f t="shared" si="74"/>
        <v>77.012437599999998</v>
      </c>
      <c r="AD207" s="6">
        <f t="shared" si="74"/>
        <v>78.070475600000009</v>
      </c>
      <c r="AE207" s="6">
        <f t="shared" si="74"/>
        <v>78.32629</v>
      </c>
      <c r="AF207" s="6">
        <f t="shared" si="74"/>
        <v>94.876119200000019</v>
      </c>
      <c r="AG207" s="6">
        <f t="shared" si="74"/>
        <v>99.118258799999992</v>
      </c>
      <c r="AH207" s="6">
        <f t="shared" si="74"/>
        <v>105.55943240000001</v>
      </c>
      <c r="AI207" s="6"/>
      <c r="AK207">
        <f t="shared" si="60"/>
        <v>66.778319797568997</v>
      </c>
    </row>
    <row r="208" spans="22:37" x14ac:dyDescent="0.2">
      <c r="V208">
        <f t="shared" si="65"/>
        <v>335</v>
      </c>
      <c r="W208">
        <f t="shared" si="65"/>
        <v>15</v>
      </c>
      <c r="X208" s="6">
        <f t="shared" ref="X208:AH208" si="75">X130</f>
        <v>94.892876000000001</v>
      </c>
      <c r="Y208" s="6">
        <f t="shared" si="75"/>
        <v>96.948511007999983</v>
      </c>
      <c r="Z208" s="6">
        <f t="shared" si="75"/>
        <v>97.632498592000005</v>
      </c>
      <c r="AA208" s="6">
        <f t="shared" si="75"/>
        <v>88.608133600000016</v>
      </c>
      <c r="AB208" s="6">
        <f t="shared" si="75"/>
        <v>84.088159199999993</v>
      </c>
      <c r="AC208" s="6">
        <f t="shared" si="75"/>
        <v>80.021508799999992</v>
      </c>
      <c r="AD208" s="6">
        <f t="shared" si="75"/>
        <v>83.617738399999993</v>
      </c>
      <c r="AE208" s="6">
        <f t="shared" si="75"/>
        <v>80.704363199999989</v>
      </c>
      <c r="AF208" s="6">
        <f t="shared" si="75"/>
        <v>43.0567104</v>
      </c>
      <c r="AG208" s="6">
        <f t="shared" si="75"/>
        <v>43.779372000000002</v>
      </c>
      <c r="AH208" s="6">
        <f t="shared" si="75"/>
        <v>45.316819199999998</v>
      </c>
      <c r="AI208" s="6"/>
      <c r="AK208">
        <f t="shared" si="60"/>
        <v>119.04896119590737</v>
      </c>
    </row>
    <row r="209" spans="22:37" x14ac:dyDescent="0.2">
      <c r="V209">
        <f t="shared" si="65"/>
        <v>336</v>
      </c>
      <c r="W209">
        <f t="shared" si="65"/>
        <v>16</v>
      </c>
      <c r="X209" s="6">
        <f t="shared" ref="X209:AH209" si="76">X132</f>
        <v>278.19556079999995</v>
      </c>
      <c r="Y209" s="6">
        <f t="shared" si="76"/>
        <v>285.74714625199999</v>
      </c>
      <c r="Z209" s="6">
        <f t="shared" si="76"/>
        <v>269.86177974800006</v>
      </c>
      <c r="AA209" s="6">
        <f t="shared" si="76"/>
        <v>236.7783652</v>
      </c>
      <c r="AB209" s="6">
        <f t="shared" si="76"/>
        <v>224.468368</v>
      </c>
      <c r="AC209" s="6">
        <f t="shared" si="76"/>
        <v>207.53247039999999</v>
      </c>
      <c r="AD209" s="6">
        <f t="shared" si="76"/>
        <v>232.71565440000001</v>
      </c>
      <c r="AE209" s="6">
        <f t="shared" si="76"/>
        <v>241.38594399999999</v>
      </c>
      <c r="AF209" s="6">
        <f t="shared" si="76"/>
        <v>134.85349959999999</v>
      </c>
      <c r="AG209" s="6">
        <f t="shared" si="76"/>
        <v>139.39896600000003</v>
      </c>
      <c r="AH209" s="6">
        <f t="shared" si="76"/>
        <v>150.05157120000001</v>
      </c>
      <c r="AI209" s="6"/>
      <c r="AK209">
        <f t="shared" si="60"/>
        <v>208.74628532243858</v>
      </c>
    </row>
    <row r="210" spans="22:37" x14ac:dyDescent="0.2">
      <c r="V210">
        <f t="shared" si="65"/>
        <v>337</v>
      </c>
      <c r="W210">
        <f t="shared" si="65"/>
        <v>17</v>
      </c>
      <c r="X210">
        <f t="shared" ref="X210:AH210" si="77">X41</f>
        <v>35.97</v>
      </c>
      <c r="Y210">
        <f t="shared" si="77"/>
        <v>37.739999999999995</v>
      </c>
      <c r="Z210">
        <f t="shared" si="77"/>
        <v>35.5</v>
      </c>
      <c r="AA210">
        <f t="shared" si="77"/>
        <v>32.049999999999997</v>
      </c>
      <c r="AB210">
        <f t="shared" si="77"/>
        <v>29.42</v>
      </c>
      <c r="AC210">
        <f t="shared" si="77"/>
        <v>27.560000000000002</v>
      </c>
      <c r="AD210">
        <f t="shared" si="77"/>
        <v>28.32</v>
      </c>
      <c r="AE210">
        <f t="shared" si="77"/>
        <v>29.990000000000002</v>
      </c>
      <c r="AF210">
        <f t="shared" si="77"/>
        <v>15.2693824</v>
      </c>
      <c r="AG210">
        <f t="shared" si="77"/>
        <v>15.963042</v>
      </c>
      <c r="AH210">
        <f t="shared" si="77"/>
        <v>19.492073600000001</v>
      </c>
      <c r="AK210">
        <f t="shared" si="60"/>
        <v>42.052572949250447</v>
      </c>
    </row>
    <row r="211" spans="22:37" x14ac:dyDescent="0.2">
      <c r="V211">
        <f t="shared" si="65"/>
        <v>339</v>
      </c>
      <c r="W211">
        <f t="shared" si="65"/>
        <v>18</v>
      </c>
      <c r="X211" s="6">
        <f t="shared" ref="X211:AH211" si="78">X113</f>
        <v>35.606561200000002</v>
      </c>
      <c r="Y211" s="6">
        <f t="shared" si="78"/>
        <v>37.2326403</v>
      </c>
      <c r="Z211" s="6">
        <f t="shared" si="78"/>
        <v>36.173752100000002</v>
      </c>
      <c r="AA211" s="6">
        <f t="shared" si="78"/>
        <v>34.4798312</v>
      </c>
      <c r="AB211" s="6">
        <f t="shared" si="78"/>
        <v>32.2754184</v>
      </c>
      <c r="AC211" s="6">
        <f t="shared" si="78"/>
        <v>28.917562400000001</v>
      </c>
      <c r="AD211" s="6">
        <f t="shared" si="78"/>
        <v>31.049524399999999</v>
      </c>
      <c r="AE211" s="6">
        <f t="shared" si="78"/>
        <v>31.26371</v>
      </c>
      <c r="AF211" s="6">
        <f t="shared" si="78"/>
        <v>18.941718000000002</v>
      </c>
      <c r="AG211" s="6">
        <f t="shared" si="78"/>
        <v>19.592045200000001</v>
      </c>
      <c r="AH211" s="6">
        <f t="shared" si="78"/>
        <v>24.3555384</v>
      </c>
      <c r="AI211" s="6"/>
      <c r="AK211">
        <f t="shared" si="60"/>
        <v>26.111188858357355</v>
      </c>
    </row>
  </sheetData>
  <phoneticPr fontId="0" type="noConversion"/>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D209"/>
  <sheetViews>
    <sheetView topLeftCell="U71" workbookViewId="0">
      <selection activeCell="Y92" sqref="Y92"/>
    </sheetView>
  </sheetViews>
  <sheetFormatPr defaultRowHeight="12.75" x14ac:dyDescent="0.2"/>
  <cols>
    <col min="1" max="1" width="31.5703125" customWidth="1"/>
    <col min="23" max="23" width="12.7109375" customWidth="1"/>
    <col min="24" max="24" width="12.85546875" customWidth="1"/>
    <col min="25" max="30" width="12.7109375" customWidth="1"/>
    <col min="31" max="36" width="9.28515625" bestFit="1" customWidth="1"/>
    <col min="37" max="41" width="9.5703125" bestFit="1" customWidth="1"/>
  </cols>
  <sheetData>
    <row r="1" spans="1:56" x14ac:dyDescent="0.2">
      <c r="A1" s="55" t="s">
        <v>237</v>
      </c>
      <c r="B1" s="53"/>
      <c r="C1" s="53"/>
      <c r="D1" s="53"/>
      <c r="E1" s="53"/>
      <c r="F1" s="53"/>
      <c r="G1" s="53"/>
      <c r="H1" s="53"/>
      <c r="I1" s="53"/>
      <c r="J1" s="53"/>
      <c r="K1" s="53"/>
      <c r="L1" s="53"/>
      <c r="M1" s="53"/>
      <c r="N1" s="53"/>
      <c r="O1" s="53"/>
      <c r="P1" s="53"/>
      <c r="Q1" s="53"/>
      <c r="R1" s="53"/>
      <c r="S1" s="53"/>
      <c r="T1" s="53"/>
    </row>
    <row r="2" spans="1:56" ht="13.5" thickBot="1" x14ac:dyDescent="0.25">
      <c r="A2" s="53"/>
      <c r="B2" s="53">
        <v>1976</v>
      </c>
      <c r="C2" s="53">
        <v>1977</v>
      </c>
      <c r="D2" s="53">
        <v>1978</v>
      </c>
      <c r="E2" s="53">
        <v>1979</v>
      </c>
      <c r="F2" s="53">
        <v>1980</v>
      </c>
      <c r="G2" s="53">
        <v>1981</v>
      </c>
      <c r="H2" s="53">
        <v>1982</v>
      </c>
      <c r="I2" s="53">
        <v>1983</v>
      </c>
      <c r="J2" s="53">
        <v>1984</v>
      </c>
      <c r="K2" s="53">
        <v>1985</v>
      </c>
      <c r="L2" s="53">
        <v>1986</v>
      </c>
      <c r="M2" s="53">
        <v>1987</v>
      </c>
      <c r="N2" s="53">
        <v>1988</v>
      </c>
      <c r="O2" s="53">
        <v>1989</v>
      </c>
      <c r="P2" s="53">
        <v>1990</v>
      </c>
      <c r="Q2" s="53">
        <v>1991</v>
      </c>
      <c r="R2" s="53"/>
      <c r="S2" s="53" t="s">
        <v>2</v>
      </c>
      <c r="T2" s="53" t="s">
        <v>3</v>
      </c>
      <c r="V2" t="s">
        <v>31</v>
      </c>
      <c r="X2" s="1">
        <v>1970</v>
      </c>
      <c r="Y2" s="1">
        <v>1971</v>
      </c>
      <c r="Z2" s="1">
        <v>1972</v>
      </c>
      <c r="AA2" s="1">
        <v>1973</v>
      </c>
      <c r="AB2" s="1">
        <v>1974</v>
      </c>
      <c r="AC2" s="1">
        <v>1975</v>
      </c>
      <c r="AD2" s="1">
        <f t="shared" ref="AD2:AP2" si="0">B2</f>
        <v>1976</v>
      </c>
      <c r="AE2" s="1">
        <f t="shared" si="0"/>
        <v>1977</v>
      </c>
      <c r="AF2" s="1">
        <f t="shared" si="0"/>
        <v>1978</v>
      </c>
      <c r="AG2" s="1">
        <f t="shared" si="0"/>
        <v>1979</v>
      </c>
      <c r="AH2" s="1">
        <f t="shared" si="0"/>
        <v>1980</v>
      </c>
      <c r="AI2" s="1">
        <f t="shared" si="0"/>
        <v>1981</v>
      </c>
      <c r="AJ2" s="1">
        <f t="shared" si="0"/>
        <v>1982</v>
      </c>
      <c r="AK2" s="1">
        <f t="shared" si="0"/>
        <v>1983</v>
      </c>
      <c r="AL2" s="1">
        <f t="shared" si="0"/>
        <v>1984</v>
      </c>
      <c r="AM2" s="1">
        <f t="shared" si="0"/>
        <v>1985</v>
      </c>
      <c r="AN2" s="1">
        <f t="shared" si="0"/>
        <v>1986</v>
      </c>
      <c r="AO2" s="1">
        <f t="shared" si="0"/>
        <v>1987</v>
      </c>
      <c r="AP2" s="1">
        <f t="shared" si="0"/>
        <v>1988</v>
      </c>
      <c r="AR2" t="s">
        <v>30</v>
      </c>
    </row>
    <row r="3" spans="1:56" x14ac:dyDescent="0.2">
      <c r="A3" s="54" t="s">
        <v>160</v>
      </c>
      <c r="B3" s="53">
        <v>369.3</v>
      </c>
      <c r="C3" s="53">
        <v>317.5</v>
      </c>
      <c r="D3" s="53">
        <v>405.9</v>
      </c>
      <c r="E3" s="53">
        <v>315.39999999999998</v>
      </c>
      <c r="F3" s="53">
        <v>263.7</v>
      </c>
      <c r="G3" s="53">
        <v>231.6</v>
      </c>
      <c r="H3" s="53">
        <v>243.1</v>
      </c>
      <c r="I3" s="53">
        <v>208.9</v>
      </c>
      <c r="J3" s="53">
        <v>210.8</v>
      </c>
      <c r="K3" s="53">
        <v>177.2</v>
      </c>
      <c r="L3" s="53">
        <v>0</v>
      </c>
      <c r="M3" s="53">
        <v>0</v>
      </c>
      <c r="N3" s="53">
        <v>0</v>
      </c>
      <c r="O3" s="53">
        <v>0</v>
      </c>
      <c r="P3" s="53">
        <v>0</v>
      </c>
      <c r="Q3" s="53">
        <v>0</v>
      </c>
      <c r="R3" s="53"/>
      <c r="S3" s="53">
        <v>1</v>
      </c>
      <c r="T3" s="53">
        <v>19</v>
      </c>
      <c r="V3" s="2" t="s">
        <v>12</v>
      </c>
      <c r="W3">
        <v>1</v>
      </c>
      <c r="X3">
        <f>ALLFOS!AU2</f>
        <v>882.41100000000006</v>
      </c>
      <c r="Y3">
        <f>ALLFOS!AV2</f>
        <v>896.35400000000004</v>
      </c>
      <c r="Z3">
        <f>ALLFOS!AW2</f>
        <v>889.75599999999997</v>
      </c>
      <c r="AA3">
        <f>ALLFOS!AX2</f>
        <v>863.04500000000007</v>
      </c>
      <c r="AB3">
        <f>ALLFOS!AY2</f>
        <v>788.71900000000005</v>
      </c>
      <c r="AC3">
        <f>ALLFOS!AZ2</f>
        <v>791.38300000000004</v>
      </c>
      <c r="AD3">
        <f>ALLFOS!BA2</f>
        <v>795.08199999999999</v>
      </c>
      <c r="AE3">
        <f>ALLFOS!BB2</f>
        <v>803.29600000000005</v>
      </c>
      <c r="AF3">
        <f>ALLFOS!BC2</f>
        <v>826.99199999999996</v>
      </c>
      <c r="AG3">
        <f>ALLFOS!BD2</f>
        <v>798.23899999999992</v>
      </c>
      <c r="AH3">
        <f>ALLFOS!BE2</f>
        <v>793.90499999999997</v>
      </c>
      <c r="AI3">
        <f>ALLFOS!BF2</f>
        <v>750.38799999999992</v>
      </c>
      <c r="AJ3">
        <f>ALLFOS!BG2</f>
        <v>767.68</v>
      </c>
      <c r="AK3">
        <f>ALLFOS!BH2</f>
        <v>797.24399999999991</v>
      </c>
      <c r="AL3">
        <f>ALLFOS!BI2</f>
        <v>791.21399999999994</v>
      </c>
      <c r="AM3">
        <f>ALLFOS!BJ2</f>
        <v>700.952</v>
      </c>
      <c r="AN3">
        <f>SUMIF($T3:$T77,"=1",L3:L77)</f>
        <v>745.83</v>
      </c>
      <c r="AO3">
        <f>SUMIF($T3:$T77,"=1",M3:M77)</f>
        <v>714.59</v>
      </c>
      <c r="AP3">
        <f>SUMIF($T3:$T77,"=1",N3:N77)</f>
        <v>734.96</v>
      </c>
      <c r="AR3">
        <f>[6]Asmt4!AE84</f>
        <v>175.813536</v>
      </c>
    </row>
    <row r="4" spans="1:56" x14ac:dyDescent="0.2">
      <c r="A4" s="54" t="s">
        <v>161</v>
      </c>
      <c r="B4" s="53">
        <v>4.4020000000000001</v>
      </c>
      <c r="C4" s="53">
        <v>4.6589999999999998</v>
      </c>
      <c r="D4" s="53">
        <v>5.048</v>
      </c>
      <c r="E4" s="53">
        <v>5.4059999999999997</v>
      </c>
      <c r="F4" s="53">
        <v>5.7290000000000001</v>
      </c>
      <c r="G4" s="53">
        <v>6.0880000000000001</v>
      </c>
      <c r="H4" s="53">
        <v>6.2</v>
      </c>
      <c r="I4" s="53">
        <v>6.3209999999999997</v>
      </c>
      <c r="J4" s="53">
        <v>6.4260000000000002</v>
      </c>
      <c r="K4" s="53">
        <v>6.258</v>
      </c>
      <c r="L4" s="53">
        <v>0</v>
      </c>
      <c r="M4" s="53">
        <v>0</v>
      </c>
      <c r="N4" s="53">
        <v>0</v>
      </c>
      <c r="O4" s="53">
        <v>0</v>
      </c>
      <c r="P4" s="53">
        <v>0</v>
      </c>
      <c r="Q4" s="53">
        <v>0</v>
      </c>
      <c r="R4" s="53"/>
      <c r="S4" s="53">
        <v>2</v>
      </c>
      <c r="T4" s="53">
        <v>19</v>
      </c>
      <c r="V4" s="2" t="s">
        <v>13</v>
      </c>
      <c r="W4">
        <f>W3+1</f>
        <v>2</v>
      </c>
      <c r="X4">
        <f>ALLFOS!AU3</f>
        <v>254.73499999999999</v>
      </c>
      <c r="Y4">
        <f>ALLFOS!AV3</f>
        <v>271.54899999999998</v>
      </c>
      <c r="Z4">
        <f>ALLFOS!AW3</f>
        <v>273.87000000000006</v>
      </c>
      <c r="AA4">
        <f>ALLFOS!AX3</f>
        <v>252.18700000000001</v>
      </c>
      <c r="AB4">
        <f>ALLFOS!AY3</f>
        <v>220.44800000000001</v>
      </c>
      <c r="AC4">
        <f>ALLFOS!AZ3</f>
        <v>219.798</v>
      </c>
      <c r="AD4">
        <f>ALLFOS!BA3</f>
        <v>230.82899999999998</v>
      </c>
      <c r="AE4">
        <f>ALLFOS!BB3</f>
        <v>243.09300000000002</v>
      </c>
      <c r="AF4">
        <f>ALLFOS!BC3</f>
        <v>238.75</v>
      </c>
      <c r="AG4">
        <f>ALLFOS!BD3</f>
        <v>225.91599999999997</v>
      </c>
      <c r="AH4">
        <f>ALLFOS!BE3</f>
        <v>208.69900000000001</v>
      </c>
      <c r="AI4">
        <f>ALLFOS!BF3</f>
        <v>203.875</v>
      </c>
      <c r="AJ4">
        <f>ALLFOS!BG3</f>
        <v>180.465</v>
      </c>
      <c r="AK4">
        <f>ALLFOS!BH3</f>
        <v>202.08600000000001</v>
      </c>
      <c r="AL4">
        <f>ALLFOS!BI3</f>
        <v>198.92</v>
      </c>
      <c r="AM4">
        <f>ALLFOS!BJ3</f>
        <v>176.35299999999998</v>
      </c>
      <c r="AN4">
        <f>SUMIF($T$3:$T$77,"=2",L$3:L$77)</f>
        <v>190.09</v>
      </c>
      <c r="AO4">
        <f>SUMIF($T$3:$T$77,"=2",M$3:M$77)</f>
        <v>200.22</v>
      </c>
      <c r="AP4">
        <f>SUMIF($T$3:$T$77,"=2",N$3:N$77)</f>
        <v>115.01</v>
      </c>
      <c r="AR4">
        <f>[6]Asmt4!AE85</f>
        <v>100.9068292</v>
      </c>
    </row>
    <row r="5" spans="1:56" x14ac:dyDescent="0.2">
      <c r="A5" s="54" t="s">
        <v>162</v>
      </c>
      <c r="B5" s="53">
        <v>139.4</v>
      </c>
      <c r="C5" s="53">
        <v>122.1</v>
      </c>
      <c r="D5" s="53">
        <v>139.4</v>
      </c>
      <c r="E5" s="53">
        <v>137.30000000000001</v>
      </c>
      <c r="F5" s="53">
        <v>114.7</v>
      </c>
      <c r="G5" s="53">
        <v>111.3</v>
      </c>
      <c r="H5" s="53">
        <v>64.48</v>
      </c>
      <c r="I5" s="53">
        <v>62.68</v>
      </c>
      <c r="J5" s="53">
        <v>74.290000000000006</v>
      </c>
      <c r="K5" s="53">
        <v>67.52</v>
      </c>
      <c r="L5" s="53">
        <v>0</v>
      </c>
      <c r="M5" s="53">
        <v>0</v>
      </c>
      <c r="N5" s="53">
        <v>0</v>
      </c>
      <c r="O5" s="53">
        <v>0</v>
      </c>
      <c r="P5" s="53">
        <v>0</v>
      </c>
      <c r="Q5" s="53">
        <v>0</v>
      </c>
      <c r="R5" s="53"/>
      <c r="S5" s="53">
        <v>3</v>
      </c>
      <c r="T5" s="53">
        <v>19</v>
      </c>
      <c r="V5" s="2" t="s">
        <v>14</v>
      </c>
      <c r="W5">
        <f t="shared" ref="W5:W20" si="1">W4+1</f>
        <v>3</v>
      </c>
      <c r="X5">
        <f>ALLFOS!AU4</f>
        <v>65.762</v>
      </c>
      <c r="Y5">
        <f>ALLFOS!AV4</f>
        <v>62.195999999999998</v>
      </c>
      <c r="Z5">
        <f>ALLFOS!AW4</f>
        <v>58.408000000000001</v>
      </c>
      <c r="AA5">
        <f>ALLFOS!AX4</f>
        <v>49.652999999999999</v>
      </c>
      <c r="AB5">
        <f>ALLFOS!AY4</f>
        <v>42.930999999999997</v>
      </c>
      <c r="AC5">
        <f>ALLFOS!AZ4</f>
        <v>41.317</v>
      </c>
      <c r="AD5">
        <f>ALLFOS!BA4</f>
        <v>40.389999999999993</v>
      </c>
      <c r="AE5">
        <f>ALLFOS!BB4</f>
        <v>44.045000000000002</v>
      </c>
      <c r="AF5">
        <f>ALLFOS!BC4</f>
        <v>45.826999999999998</v>
      </c>
      <c r="AG5">
        <f>ALLFOS!BD4</f>
        <v>41.187999999999995</v>
      </c>
      <c r="AH5">
        <f>ALLFOS!BE4</f>
        <v>40.210999999999999</v>
      </c>
      <c r="AI5">
        <f>ALLFOS!BF4</f>
        <v>40.091999999999999</v>
      </c>
      <c r="AJ5">
        <f>ALLFOS!BG4</f>
        <v>32.204000000000001</v>
      </c>
      <c r="AK5">
        <f>ALLFOS!BH4</f>
        <v>35.009</v>
      </c>
      <c r="AL5">
        <f>ALLFOS!BI4</f>
        <v>30.833999999999996</v>
      </c>
      <c r="AM5">
        <f>ALLFOS!BJ4</f>
        <v>26.388000000000002</v>
      </c>
      <c r="AN5">
        <f>SUMIF($T$3:$T$77,"=3",L$3:L$77)</f>
        <v>31.163000000000004</v>
      </c>
      <c r="AO5">
        <f>SUMIF($T$3:$T$77,"=3",M$3:M$77)</f>
        <v>31.866000000000003</v>
      </c>
      <c r="AP5">
        <f>SUMIF($T$3:$T$77,"=3",N$3:N$77)</f>
        <v>34.570999999999998</v>
      </c>
      <c r="AR5">
        <f>[6]Asmt4!AE86</f>
        <v>26.450506399999998</v>
      </c>
    </row>
    <row r="6" spans="1:56" x14ac:dyDescent="0.2">
      <c r="A6" s="54" t="s">
        <v>163</v>
      </c>
      <c r="B6" s="53">
        <v>73.569999999999993</v>
      </c>
      <c r="C6" s="53">
        <v>80.900000000000006</v>
      </c>
      <c r="D6" s="53">
        <v>76.930000000000007</v>
      </c>
      <c r="E6" s="53">
        <v>89.11</v>
      </c>
      <c r="F6" s="53">
        <v>93.94</v>
      </c>
      <c r="G6" s="53">
        <v>91.95</v>
      </c>
      <c r="H6" s="53">
        <v>93.8</v>
      </c>
      <c r="I6" s="53">
        <v>86.84</v>
      </c>
      <c r="J6" s="53">
        <v>96.92</v>
      </c>
      <c r="K6" s="53">
        <v>95.11</v>
      </c>
      <c r="L6" s="53">
        <v>0</v>
      </c>
      <c r="M6" s="53">
        <v>0</v>
      </c>
      <c r="N6" s="53">
        <v>0</v>
      </c>
      <c r="O6" s="53">
        <v>0</v>
      </c>
      <c r="P6" s="53">
        <v>0</v>
      </c>
      <c r="Q6" s="53">
        <v>0</v>
      </c>
      <c r="R6" s="53"/>
      <c r="S6" s="53">
        <v>4</v>
      </c>
      <c r="T6" s="53">
        <v>19</v>
      </c>
      <c r="V6">
        <v>321</v>
      </c>
      <c r="W6">
        <f t="shared" si="1"/>
        <v>4</v>
      </c>
      <c r="X6">
        <f>ALLFOS!AU5</f>
        <v>437.23400000000004</v>
      </c>
      <c r="Y6">
        <f>ALLFOS!AV5</f>
        <v>429.00200000000001</v>
      </c>
      <c r="Z6">
        <f>ALLFOS!AW5</f>
        <v>449.85399999999998</v>
      </c>
      <c r="AA6">
        <f>ALLFOS!AX5</f>
        <v>463.42200000000003</v>
      </c>
      <c r="AB6">
        <f>ALLFOS!AY5</f>
        <v>443.20599999999996</v>
      </c>
      <c r="AC6">
        <f>ALLFOS!AZ5</f>
        <v>415.05</v>
      </c>
      <c r="AD6">
        <f>ALLFOS!BA5</f>
        <v>448.471</v>
      </c>
      <c r="AE6">
        <f>ALLFOS!BB5</f>
        <v>445.00799999999998</v>
      </c>
      <c r="AF6">
        <f>ALLFOS!BC5</f>
        <v>485.37400000000002</v>
      </c>
      <c r="AG6">
        <f>ALLFOS!BD5</f>
        <v>484.101</v>
      </c>
      <c r="AH6">
        <f>ALLFOS!BE5</f>
        <v>455.52300000000002</v>
      </c>
      <c r="AI6">
        <f>ALLFOS!BF5</f>
        <v>451.28799999999995</v>
      </c>
      <c r="AJ6">
        <f>ALLFOS!BG5</f>
        <v>393.88299999999998</v>
      </c>
      <c r="AK6">
        <f>ALLFOS!BH5</f>
        <v>433.86200000000002</v>
      </c>
      <c r="AL6">
        <f>ALLFOS!BI5</f>
        <v>459.62899999999996</v>
      </c>
      <c r="AM6">
        <f>ALLFOS!BJ5</f>
        <v>469.87200000000007</v>
      </c>
      <c r="AN6">
        <f>SUMIF($T$3:$T$77,"=4",L$3:L$77)</f>
        <v>83.364999999999995</v>
      </c>
      <c r="AO6">
        <f>SUMIF($T$3:$T$77,"=4",M$3:M$77)</f>
        <v>85.831000000000003</v>
      </c>
      <c r="AP6">
        <f>SUMIF($T$3:$T$77,"=4",N$3:N$77)</f>
        <v>101.13000000000001</v>
      </c>
      <c r="AR6">
        <f>[6]Asmt4!AE87</f>
        <v>68.653875599999992</v>
      </c>
    </row>
    <row r="7" spans="1:56" x14ac:dyDescent="0.2">
      <c r="A7" s="54" t="s">
        <v>164</v>
      </c>
      <c r="B7" s="53">
        <v>280.60000000000002</v>
      </c>
      <c r="C7" s="53">
        <v>307.60000000000002</v>
      </c>
      <c r="D7" s="53">
        <v>317.89999999999998</v>
      </c>
      <c r="E7" s="53">
        <v>321.60000000000002</v>
      </c>
      <c r="F7" s="53">
        <v>324.7</v>
      </c>
      <c r="G7" s="53">
        <v>325.2</v>
      </c>
      <c r="H7" s="53">
        <v>316.89999999999998</v>
      </c>
      <c r="I7" s="53">
        <v>311.10000000000002</v>
      </c>
      <c r="J7" s="53">
        <v>310.10000000000002</v>
      </c>
      <c r="K7" s="53">
        <v>303.10000000000002</v>
      </c>
      <c r="L7" s="53">
        <v>0</v>
      </c>
      <c r="M7" s="53">
        <v>0</v>
      </c>
      <c r="N7" s="53">
        <v>0</v>
      </c>
      <c r="O7" s="53">
        <v>0</v>
      </c>
      <c r="P7" s="53">
        <v>0</v>
      </c>
      <c r="Q7" s="53">
        <v>0</v>
      </c>
      <c r="R7" s="53"/>
      <c r="S7" s="53">
        <v>5</v>
      </c>
      <c r="T7" s="53">
        <v>19</v>
      </c>
      <c r="V7">
        <v>322</v>
      </c>
      <c r="W7">
        <f t="shared" si="1"/>
        <v>5</v>
      </c>
      <c r="X7">
        <f>ALLFOS!AU6</f>
        <v>1839.306</v>
      </c>
      <c r="Y7">
        <f>ALLFOS!AV6</f>
        <v>1946.539</v>
      </c>
      <c r="Z7">
        <f>ALLFOS!AW6</f>
        <v>2036.461</v>
      </c>
      <c r="AA7">
        <f>ALLFOS!AX6</f>
        <v>2000.1790000000001</v>
      </c>
      <c r="AB7">
        <f>ALLFOS!AY6</f>
        <v>2019.8880000000001</v>
      </c>
      <c r="AC7">
        <f>ALLFOS!AZ6</f>
        <v>1859.2450000000001</v>
      </c>
      <c r="AD7">
        <f>ALLFOS!BA6</f>
        <v>2033.7089999999998</v>
      </c>
      <c r="AE7">
        <f>ALLFOS!BB6</f>
        <v>2087.9460000000004</v>
      </c>
      <c r="AF7">
        <f>ALLFOS!BC6</f>
        <v>2147.0419999999999</v>
      </c>
      <c r="AG7">
        <f>ALLFOS!BD6</f>
        <v>2142.8770000000004</v>
      </c>
      <c r="AH7">
        <f>ALLFOS!BE6</f>
        <v>2086.7080000000001</v>
      </c>
      <c r="AI7">
        <f>ALLFOS!BF6</f>
        <v>2134.06</v>
      </c>
      <c r="AJ7">
        <f>ALLFOS!BG6</f>
        <v>2024.623</v>
      </c>
      <c r="AK7">
        <f>ALLFOS!BH6</f>
        <v>2211.1129999999998</v>
      </c>
      <c r="AL7">
        <f>ALLFOS!BI6</f>
        <v>2279.723</v>
      </c>
      <c r="AM7">
        <f>ALLFOS!BJ6</f>
        <v>2212.8360000000002</v>
      </c>
      <c r="AN7">
        <f>SUMIF($T$3:$T$77,"=5",L$3:L$77)</f>
        <v>995.79000000000008</v>
      </c>
      <c r="AO7">
        <f>SUMIF($T$3:$T$77,"=5",M$3:M$77)</f>
        <v>1001.25</v>
      </c>
      <c r="AP7">
        <f>SUMIF($T$3:$T$77,"=5",N$3:N$77)</f>
        <v>1022.6899999999999</v>
      </c>
      <c r="AR7">
        <f>[6]Asmt4!AE88</f>
        <v>202.15281119999997</v>
      </c>
    </row>
    <row r="8" spans="1:56" x14ac:dyDescent="0.2">
      <c r="A8" s="54" t="s">
        <v>165</v>
      </c>
      <c r="B8" s="53">
        <v>262</v>
      </c>
      <c r="C8" s="53">
        <v>276.89999999999998</v>
      </c>
      <c r="D8" s="53">
        <v>286.5</v>
      </c>
      <c r="E8" s="53">
        <v>305.89999999999998</v>
      </c>
      <c r="F8" s="53">
        <v>286.8</v>
      </c>
      <c r="G8" s="53">
        <v>264</v>
      </c>
      <c r="H8" s="53">
        <v>214.7</v>
      </c>
      <c r="I8" s="53">
        <v>231.8</v>
      </c>
      <c r="J8" s="53">
        <v>228.2</v>
      </c>
      <c r="K8" s="53">
        <v>217.3</v>
      </c>
      <c r="L8" s="53">
        <v>0</v>
      </c>
      <c r="M8" s="53">
        <v>0</v>
      </c>
      <c r="N8" s="53">
        <v>0</v>
      </c>
      <c r="O8" s="53">
        <v>0</v>
      </c>
      <c r="P8" s="53">
        <v>0</v>
      </c>
      <c r="Q8" s="53">
        <v>0</v>
      </c>
      <c r="R8" s="53"/>
      <c r="S8" s="53">
        <v>6</v>
      </c>
      <c r="T8" s="53">
        <v>19</v>
      </c>
      <c r="V8">
        <v>323</v>
      </c>
      <c r="W8">
        <f t="shared" si="1"/>
        <v>6</v>
      </c>
      <c r="X8">
        <f>ALLFOS!AU7</f>
        <v>60.798999999999999</v>
      </c>
      <c r="Y8">
        <f>ALLFOS!AV7</f>
        <v>58.165999999999997</v>
      </c>
      <c r="Z8">
        <f>ALLFOS!AW7</f>
        <v>56.883000000000003</v>
      </c>
      <c r="AA8">
        <f>ALLFOS!AX7</f>
        <v>53.048000000000002</v>
      </c>
      <c r="AB8">
        <f>ALLFOS!AY7</f>
        <v>43.956000000000003</v>
      </c>
      <c r="AC8">
        <f>ALLFOS!AZ7</f>
        <v>47.404000000000003</v>
      </c>
      <c r="AD8">
        <f>ALLFOS!BA7</f>
        <v>38.405999999999999</v>
      </c>
      <c r="AE8">
        <f>ALLFOS!BB7</f>
        <v>46.491999999999997</v>
      </c>
      <c r="AF8">
        <f>ALLFOS!BC7</f>
        <v>46.761000000000003</v>
      </c>
      <c r="AG8">
        <f>ALLFOS!BD7</f>
        <v>51.27</v>
      </c>
      <c r="AH8">
        <f>ALLFOS!BE7</f>
        <v>49.938000000000002</v>
      </c>
      <c r="AI8">
        <f>ALLFOS!BF7</f>
        <v>49.947000000000003</v>
      </c>
      <c r="AJ8">
        <f>ALLFOS!BG7</f>
        <v>52.484999999999999</v>
      </c>
      <c r="AK8">
        <f>ALLFOS!BH7</f>
        <v>55.146999999999998</v>
      </c>
      <c r="AL8">
        <f>ALLFOS!BI7</f>
        <v>60.213000000000001</v>
      </c>
      <c r="AM8">
        <f>ALLFOS!BJ7</f>
        <v>51.106999999999999</v>
      </c>
      <c r="AN8">
        <f>SUMIF($T$3:$T$77,"=6",L$3:L$77)</f>
        <v>58.24</v>
      </c>
      <c r="AO8">
        <f>SUMIF($T$3:$T$77,"=6",M$3:M$77)</f>
        <v>66.930000000000007</v>
      </c>
      <c r="AP8">
        <f>SUMIF($T$3:$T$77,"=6",N$3:N$77)</f>
        <v>70.13</v>
      </c>
      <c r="AR8">
        <f>[6]Asmt4!AE89</f>
        <v>38.495548799999995</v>
      </c>
    </row>
    <row r="9" spans="1:56" x14ac:dyDescent="0.2">
      <c r="A9" s="54" t="s">
        <v>166</v>
      </c>
      <c r="B9" s="53">
        <v>302.3</v>
      </c>
      <c r="C9" s="53">
        <v>319.3</v>
      </c>
      <c r="D9" s="53">
        <v>327.39999999999998</v>
      </c>
      <c r="E9" s="53">
        <v>308.39999999999998</v>
      </c>
      <c r="F9" s="53">
        <v>312.8</v>
      </c>
      <c r="G9" s="53">
        <v>326.7</v>
      </c>
      <c r="H9" s="53">
        <v>292</v>
      </c>
      <c r="I9" s="53">
        <v>279</v>
      </c>
      <c r="J9" s="53">
        <v>330.4</v>
      </c>
      <c r="K9" s="53">
        <v>314</v>
      </c>
      <c r="L9" s="53">
        <v>0</v>
      </c>
      <c r="M9" s="53">
        <v>0</v>
      </c>
      <c r="N9" s="53">
        <v>0</v>
      </c>
      <c r="O9" s="53">
        <v>0</v>
      </c>
      <c r="P9" s="53">
        <v>0</v>
      </c>
      <c r="Q9" s="53">
        <v>0</v>
      </c>
      <c r="R9" s="53"/>
      <c r="S9" s="53">
        <v>7</v>
      </c>
      <c r="T9" s="53">
        <v>19</v>
      </c>
      <c r="V9">
        <v>324</v>
      </c>
      <c r="W9">
        <f t="shared" si="1"/>
        <v>7</v>
      </c>
      <c r="X9">
        <f>ALLFOS!AU8</f>
        <v>2635.1559999999999</v>
      </c>
      <c r="Y9">
        <f>ALLFOS!AV8</f>
        <v>2635.9049999999997</v>
      </c>
      <c r="Z9">
        <f>ALLFOS!AW8</f>
        <v>2773.3790000000004</v>
      </c>
      <c r="AA9">
        <f>ALLFOS!AX8</f>
        <v>2927.5309999999999</v>
      </c>
      <c r="AB9">
        <f>ALLFOS!AY8</f>
        <v>2886.8559999999998</v>
      </c>
      <c r="AC9">
        <f>ALLFOS!AZ8</f>
        <v>2747.96</v>
      </c>
      <c r="AD9">
        <f>ALLFOS!BA8</f>
        <v>2839.1610000000001</v>
      </c>
      <c r="AE9">
        <f>ALLFOS!BB8</f>
        <v>2935.9290000000005</v>
      </c>
      <c r="AF9">
        <f>ALLFOS!BC8</f>
        <v>2926.7709999999997</v>
      </c>
      <c r="AG9">
        <f>ALLFOS!BD8</f>
        <v>2880.9909999999995</v>
      </c>
      <c r="AH9">
        <f>ALLFOS!BE8</f>
        <v>2766.5080000000003</v>
      </c>
      <c r="AI9">
        <f>ALLFOS!BF8</f>
        <v>2323.83</v>
      </c>
      <c r="AJ9">
        <f>ALLFOS!BG8</f>
        <v>2303.2909999999997</v>
      </c>
      <c r="AK9">
        <f>ALLFOS!BH8</f>
        <v>2329.6880000000001</v>
      </c>
      <c r="AL9">
        <f>ALLFOS!BI8</f>
        <v>2352.5519999999997</v>
      </c>
      <c r="AM9">
        <f>ALLFOS!BJ8</f>
        <v>2377.5550000000003</v>
      </c>
      <c r="AN9">
        <f>SUMIF($T$3:$T$77,"=7",L$3:L$77)</f>
        <v>2140.75</v>
      </c>
      <c r="AO9">
        <f>SUMIF($T$3:$T$77,"=7",M$3:M$77)</f>
        <v>1701.73</v>
      </c>
      <c r="AP9">
        <f>SUMIF($T$3:$T$77,"=7",N$3:N$77)</f>
        <v>1803.712</v>
      </c>
      <c r="AR9">
        <f>[6]Asmt4!AE90</f>
        <v>114.11706959999999</v>
      </c>
    </row>
    <row r="10" spans="1:56" x14ac:dyDescent="0.2">
      <c r="A10" s="54" t="s">
        <v>167</v>
      </c>
      <c r="B10" s="53">
        <v>1.4870000000000001</v>
      </c>
      <c r="C10" s="53">
        <v>1.7010000000000001</v>
      </c>
      <c r="D10" s="53">
        <v>1.76</v>
      </c>
      <c r="E10" s="53">
        <v>2.1520000000000001</v>
      </c>
      <c r="F10" s="53">
        <v>1.9490000000000001</v>
      </c>
      <c r="G10" s="53">
        <v>1.4350000000000001</v>
      </c>
      <c r="H10" s="53">
        <v>1.2949999999999999</v>
      </c>
      <c r="I10" s="53">
        <v>1.462</v>
      </c>
      <c r="J10" s="53">
        <v>1.3280000000000001</v>
      </c>
      <c r="K10" s="53">
        <v>1.0569999999999999</v>
      </c>
      <c r="L10" s="53">
        <v>1.18</v>
      </c>
      <c r="M10" s="53">
        <v>1.224</v>
      </c>
      <c r="N10" s="53">
        <v>1.3240000000000001</v>
      </c>
      <c r="O10" s="53">
        <v>1.2350000000000001</v>
      </c>
      <c r="P10" s="53">
        <v>0.96519999999999995</v>
      </c>
      <c r="Q10" s="53">
        <v>0.94469999999999998</v>
      </c>
      <c r="R10" s="53"/>
      <c r="S10" s="53">
        <v>8</v>
      </c>
      <c r="T10" s="53">
        <v>4</v>
      </c>
      <c r="V10">
        <v>325</v>
      </c>
      <c r="W10">
        <f t="shared" si="1"/>
        <v>8</v>
      </c>
      <c r="X10">
        <f>ALLFOS!AU9</f>
        <v>2110.4</v>
      </c>
      <c r="Y10">
        <f>ALLFOS!AV9</f>
        <v>2174.7960000000003</v>
      </c>
      <c r="Z10">
        <f>ALLFOS!AW9</f>
        <v>2188.2879999999996</v>
      </c>
      <c r="AA10">
        <f>ALLFOS!AX9</f>
        <v>2223.35</v>
      </c>
      <c r="AB10">
        <f>ALLFOS!AY9</f>
        <v>2532.9709999999995</v>
      </c>
      <c r="AC10">
        <f>ALLFOS!AZ9</f>
        <v>2246.998</v>
      </c>
      <c r="AD10">
        <f>ALLFOS!BA9</f>
        <v>2381.0800000000004</v>
      </c>
      <c r="AE10">
        <f>ALLFOS!BB9</f>
        <v>2323.116</v>
      </c>
      <c r="AF10">
        <f>ALLFOS!BC9</f>
        <v>2225.5829999999996</v>
      </c>
      <c r="AG10">
        <f>ALLFOS!BD9</f>
        <v>2242.2139999999999</v>
      </c>
      <c r="AH10">
        <f>ALLFOS!BE9</f>
        <v>2108.2630000000004</v>
      </c>
      <c r="AI10">
        <f>ALLFOS!BF9</f>
        <v>2047.1180000000002</v>
      </c>
      <c r="AJ10">
        <f>ALLFOS!BG9</f>
        <v>1832.7389999999998</v>
      </c>
      <c r="AK10">
        <f>ALLFOS!BH9</f>
        <v>1900.3729999999998</v>
      </c>
      <c r="AL10">
        <f>ALLFOS!BI9</f>
        <v>1975.92</v>
      </c>
      <c r="AM10">
        <f>ALLFOS!BJ9</f>
        <v>1682.6429999999998</v>
      </c>
      <c r="AN10">
        <f>SUMIF($T$3:$T$77,"=8",L$3:L$77)</f>
        <v>1503.0700000000002</v>
      </c>
      <c r="AO10">
        <f>SUMIF($T$3:$T$77,"=8",M$3:M$77)</f>
        <v>1684.5700000000002</v>
      </c>
      <c r="AP10">
        <f>SUMIF($T$3:$T$77,"=8",N$3:N$77)</f>
        <v>1785.1000000000001</v>
      </c>
      <c r="AR10">
        <f>[6]Asmt4!AE91</f>
        <v>427.02851879999997</v>
      </c>
    </row>
    <row r="11" spans="1:56" x14ac:dyDescent="0.2">
      <c r="A11" s="54" t="s">
        <v>169</v>
      </c>
      <c r="B11" s="53">
        <v>1.298</v>
      </c>
      <c r="C11" s="53">
        <v>1.589</v>
      </c>
      <c r="D11" s="53">
        <v>1.577</v>
      </c>
      <c r="E11" s="53">
        <v>1.3620000000000001</v>
      </c>
      <c r="F11" s="53">
        <v>1.2609999999999999</v>
      </c>
      <c r="G11" s="53">
        <v>1.181</v>
      </c>
      <c r="H11" s="53">
        <v>0.876</v>
      </c>
      <c r="I11" s="53">
        <v>0.77900000000000003</v>
      </c>
      <c r="J11" s="53">
        <v>0.98899999999999999</v>
      </c>
      <c r="K11" s="53">
        <v>0.84799999999999998</v>
      </c>
      <c r="L11" s="53">
        <v>1.0249999999999999</v>
      </c>
      <c r="M11" s="53">
        <v>1.2170000000000001</v>
      </c>
      <c r="N11" s="53">
        <v>1.296</v>
      </c>
      <c r="O11" s="53">
        <v>1.089</v>
      </c>
      <c r="P11" s="53">
        <v>0.96889999999999998</v>
      </c>
      <c r="Q11" s="53">
        <v>0.83450000000000002</v>
      </c>
      <c r="R11" s="53"/>
      <c r="S11" s="53">
        <v>9</v>
      </c>
      <c r="T11" s="53">
        <v>4</v>
      </c>
      <c r="V11">
        <v>326</v>
      </c>
      <c r="W11">
        <f t="shared" si="1"/>
        <v>9</v>
      </c>
      <c r="X11">
        <f>ALLFOS!AU10</f>
        <v>153.815</v>
      </c>
      <c r="Y11">
        <f>ALLFOS!AV10</f>
        <v>168.61500000000001</v>
      </c>
      <c r="Z11">
        <f>ALLFOS!AW10</f>
        <v>202.60300000000001</v>
      </c>
      <c r="AA11">
        <f>ALLFOS!AX10</f>
        <v>192.88800000000001</v>
      </c>
      <c r="AB11">
        <f>ALLFOS!AY10</f>
        <v>177.321</v>
      </c>
      <c r="AC11">
        <f>ALLFOS!AZ10</f>
        <v>162.273</v>
      </c>
      <c r="AD11">
        <f>ALLFOS!BA10</f>
        <v>166.16</v>
      </c>
      <c r="AE11">
        <f>ALLFOS!BB10</f>
        <v>189.12100000000001</v>
      </c>
      <c r="AF11">
        <f>ALLFOS!BC10</f>
        <v>177.24</v>
      </c>
      <c r="AG11">
        <f>ALLFOS!BD10</f>
        <v>164.92099999999999</v>
      </c>
      <c r="AH11">
        <f>ALLFOS!BE10</f>
        <v>143.93700000000001</v>
      </c>
      <c r="AI11">
        <f>ALLFOS!BF10</f>
        <v>138.56399999999999</v>
      </c>
      <c r="AJ11">
        <f>ALLFOS!BG10</f>
        <v>131.744</v>
      </c>
      <c r="AK11">
        <f>ALLFOS!BH10</f>
        <v>139.148</v>
      </c>
      <c r="AL11">
        <f>ALLFOS!BI10</f>
        <v>140.756</v>
      </c>
      <c r="AM11">
        <f>ALLFOS!BJ10</f>
        <v>124.17</v>
      </c>
      <c r="AN11">
        <f>SUMIF($T$3:$T$77,"=9",L$3:L$77)</f>
        <v>134.1</v>
      </c>
      <c r="AO11">
        <f>SUMIF($T$3:$T$77,"=9",M$3:M$77)</f>
        <v>153.9</v>
      </c>
      <c r="AP11">
        <f>SUMIF($T$3:$T$77,"=9",N$3:N$77)</f>
        <v>153.19999999999999</v>
      </c>
      <c r="AR11">
        <f>[6]Asmt4!AE92</f>
        <v>108.93594759999999</v>
      </c>
      <c r="AW11">
        <v>1987</v>
      </c>
      <c r="BA11" t="s">
        <v>22</v>
      </c>
    </row>
    <row r="12" spans="1:56" x14ac:dyDescent="0.2">
      <c r="A12" s="54" t="s">
        <v>168</v>
      </c>
      <c r="B12" s="53">
        <v>140.69999999999999</v>
      </c>
      <c r="C12" s="53">
        <v>121.4</v>
      </c>
      <c r="D12" s="53">
        <v>131.9</v>
      </c>
      <c r="E12" s="53">
        <v>129.4</v>
      </c>
      <c r="F12" s="53">
        <v>106.4</v>
      </c>
      <c r="G12" s="53">
        <v>89.52</v>
      </c>
      <c r="H12" s="53">
        <v>67.11</v>
      </c>
      <c r="I12" s="53">
        <v>71.59</v>
      </c>
      <c r="J12" s="53">
        <v>70.290000000000006</v>
      </c>
      <c r="K12" s="53">
        <v>63.21</v>
      </c>
      <c r="L12" s="53">
        <v>81.16</v>
      </c>
      <c r="M12" s="53">
        <v>83.39</v>
      </c>
      <c r="N12" s="53">
        <v>98.51</v>
      </c>
      <c r="O12" s="53">
        <v>93.62</v>
      </c>
      <c r="P12" s="53">
        <v>91.98</v>
      </c>
      <c r="Q12" s="53">
        <v>100.5</v>
      </c>
      <c r="R12" s="53"/>
      <c r="S12" s="53">
        <v>10</v>
      </c>
      <c r="T12" s="53">
        <v>4</v>
      </c>
      <c r="V12">
        <v>327</v>
      </c>
      <c r="W12">
        <f t="shared" si="1"/>
        <v>10</v>
      </c>
      <c r="X12">
        <f>ALLFOS!AU11</f>
        <v>1130.8</v>
      </c>
      <c r="Y12">
        <f>ALLFOS!AV11</f>
        <v>1183.4180000000001</v>
      </c>
      <c r="Z12">
        <f>ALLFOS!AW11</f>
        <v>1223.6130000000001</v>
      </c>
      <c r="AA12">
        <f>ALLFOS!AX11</f>
        <v>1173.731</v>
      </c>
      <c r="AB12">
        <f>ALLFOS!AY11</f>
        <v>1180.029</v>
      </c>
      <c r="AC12">
        <f>ALLFOS!AZ11</f>
        <v>1047.886</v>
      </c>
      <c r="AD12">
        <f>ALLFOS!BA11</f>
        <v>1094.931</v>
      </c>
      <c r="AE12">
        <f>ALLFOS!BB11</f>
        <v>1121.758</v>
      </c>
      <c r="AF12">
        <f>ALLFOS!BC11</f>
        <v>1135.1320000000001</v>
      </c>
      <c r="AG12">
        <f>ALLFOS!BD11</f>
        <v>1123.7539999999999</v>
      </c>
      <c r="AH12">
        <f>ALLFOS!BE11</f>
        <v>996.63300000000004</v>
      </c>
      <c r="AI12">
        <f>ALLFOS!BF11</f>
        <v>950.66399999999999</v>
      </c>
      <c r="AJ12">
        <f>ALLFOS!BG11</f>
        <v>794.495</v>
      </c>
      <c r="AK12">
        <f>ALLFOS!BH11</f>
        <v>867.23099999999999</v>
      </c>
      <c r="AL12">
        <f>ALLFOS!BI11</f>
        <v>877.29299999999989</v>
      </c>
      <c r="AM12">
        <f>ALLFOS!BJ11</f>
        <v>800.49400000000003</v>
      </c>
      <c r="AN12">
        <f>SUMIF($T$3:$T$77,"=10",L$3:L$77)</f>
        <v>821.19999999999993</v>
      </c>
      <c r="AO12">
        <f>SUMIF($T$3:$T$77,"=10",M$3:M$77)</f>
        <v>799</v>
      </c>
      <c r="AP12">
        <f>SUMIF($T$3:$T$77,"=10",N$3:N$77)</f>
        <v>779.09999999999991</v>
      </c>
      <c r="AR12">
        <f>[6]Asmt4!AE93</f>
        <v>113.86799359999999</v>
      </c>
      <c r="AT12">
        <f>8917+9404.4+12195.4</f>
        <v>30516.800000000003</v>
      </c>
      <c r="AU12">
        <f>3.412*AT12*0.001</f>
        <v>104.12332160000001</v>
      </c>
      <c r="AW12">
        <f>(9997.5+9700.7+13612.9)</f>
        <v>33311.1</v>
      </c>
      <c r="AX12">
        <f>3.412*AW12*0.001</f>
        <v>113.6574732</v>
      </c>
      <c r="BA12">
        <f>30.425+32.088+49.958</f>
        <v>112.471</v>
      </c>
      <c r="BC12">
        <f>32963.5</f>
        <v>32963.5</v>
      </c>
      <c r="BD12">
        <f>3.412*BC12*0.001</f>
        <v>112.471462</v>
      </c>
    </row>
    <row r="13" spans="1:56" x14ac:dyDescent="0.2">
      <c r="A13" s="54" t="s">
        <v>170</v>
      </c>
      <c r="B13" s="53">
        <v>17.920000000000002</v>
      </c>
      <c r="C13" s="53">
        <v>20.059999999999999</v>
      </c>
      <c r="D13" s="53">
        <v>19.84</v>
      </c>
      <c r="E13" s="53">
        <v>18.23</v>
      </c>
      <c r="F13" s="53">
        <v>16.309999999999999</v>
      </c>
      <c r="G13" s="53">
        <v>15.23</v>
      </c>
      <c r="H13" s="53">
        <v>13.23</v>
      </c>
      <c r="I13" s="53">
        <v>12.25</v>
      </c>
      <c r="J13" s="53">
        <v>12.65</v>
      </c>
      <c r="K13" s="53">
        <v>11.54</v>
      </c>
      <c r="L13" s="53">
        <v>13.83</v>
      </c>
      <c r="M13" s="53">
        <v>14.27</v>
      </c>
      <c r="N13" s="53">
        <v>16.23</v>
      </c>
      <c r="O13" s="53">
        <v>15.6</v>
      </c>
      <c r="P13" s="53">
        <v>13.07</v>
      </c>
      <c r="Q13" s="53">
        <v>13.48</v>
      </c>
      <c r="R13" s="53"/>
      <c r="S13" s="53">
        <v>11</v>
      </c>
      <c r="T13" s="53">
        <v>17</v>
      </c>
      <c r="V13">
        <v>331</v>
      </c>
      <c r="W13">
        <f t="shared" si="1"/>
        <v>11</v>
      </c>
      <c r="X13">
        <f>ALLFOS!AU12</f>
        <v>3500.2030000000004</v>
      </c>
      <c r="Y13">
        <f>ALLFOS!AV12</f>
        <v>3268.058</v>
      </c>
      <c r="Z13">
        <f>ALLFOS!AW12</f>
        <v>3428.297</v>
      </c>
      <c r="AA13">
        <f>ALLFOS!AX12</f>
        <v>3723.2270000000003</v>
      </c>
      <c r="AB13">
        <f>ALLFOS!AY12</f>
        <v>3585.6839999999997</v>
      </c>
      <c r="AC13">
        <f>ALLFOS!AZ12</f>
        <v>3004.2560000000003</v>
      </c>
      <c r="AD13">
        <f>ALLFOS!BA12</f>
        <v>3080.8889999999997</v>
      </c>
      <c r="AE13">
        <f>ALLFOS!BB12</f>
        <v>3029.5459999999998</v>
      </c>
      <c r="AF13">
        <f>ALLFOS!BC12</f>
        <v>3186.489</v>
      </c>
      <c r="AG13">
        <f>ALLFOS!BD12</f>
        <v>3218.0230000000001</v>
      </c>
      <c r="AH13">
        <f>ALLFOS!BE12</f>
        <v>2613.404</v>
      </c>
      <c r="AI13">
        <f>ALLFOS!BF12</f>
        <v>2593.2039999999997</v>
      </c>
      <c r="AJ13">
        <f>ALLFOS!BG12</f>
        <v>1756.1860000000001</v>
      </c>
      <c r="AK13">
        <f>ALLFOS!BH12</f>
        <v>1930.2429999999999</v>
      </c>
      <c r="AL13">
        <f>ALLFOS!BI12</f>
        <v>1930.7450000000001</v>
      </c>
      <c r="AM13">
        <f>ALLFOS!BJ12</f>
        <v>1749.29</v>
      </c>
      <c r="AN13">
        <f>SUMIF($T$3:$T$77,"=11",L$3:L$77)</f>
        <v>1638.36</v>
      </c>
      <c r="AO13">
        <f>SUMIF($T$3:$T$77,"=11",M$3:M$77)</f>
        <v>1537.6299999999999</v>
      </c>
      <c r="AP13">
        <f>SUMIF($T$3:$T$77,"=11",N$3:N$77)</f>
        <v>1654.82</v>
      </c>
      <c r="AR13">
        <f>[6]Asmt4!AE94</f>
        <v>445.69898280000001</v>
      </c>
    </row>
    <row r="14" spans="1:56" x14ac:dyDescent="0.2">
      <c r="A14" s="54" t="s">
        <v>171</v>
      </c>
      <c r="B14" s="53">
        <v>14.35</v>
      </c>
      <c r="C14" s="53">
        <v>15.91</v>
      </c>
      <c r="D14" s="53">
        <v>17.899999999999999</v>
      </c>
      <c r="E14" s="53">
        <v>17.27</v>
      </c>
      <c r="F14" s="53">
        <v>15.74</v>
      </c>
      <c r="G14" s="53">
        <v>14.19</v>
      </c>
      <c r="H14" s="53">
        <v>14.33</v>
      </c>
      <c r="I14" s="53">
        <v>16.07</v>
      </c>
      <c r="J14" s="53">
        <v>17.34</v>
      </c>
      <c r="K14" s="53">
        <v>16.5</v>
      </c>
      <c r="L14" s="53">
        <v>18.09</v>
      </c>
      <c r="M14" s="53">
        <v>20.65</v>
      </c>
      <c r="N14" s="53">
        <v>21.46</v>
      </c>
      <c r="O14" s="53">
        <v>21.47</v>
      </c>
      <c r="P14" s="53">
        <v>19.7</v>
      </c>
      <c r="Q14" s="53">
        <v>19.46</v>
      </c>
      <c r="R14" s="53"/>
      <c r="S14" s="53">
        <v>12</v>
      </c>
      <c r="T14" s="53">
        <v>17</v>
      </c>
      <c r="V14">
        <v>332</v>
      </c>
      <c r="W14">
        <f t="shared" si="1"/>
        <v>12</v>
      </c>
      <c r="X14">
        <f>ALLFOS!AU13</f>
        <v>352.20100000000002</v>
      </c>
      <c r="Y14">
        <f>ALLFOS!AV13</f>
        <v>338.04899999999998</v>
      </c>
      <c r="Z14">
        <f>ALLFOS!AW13</f>
        <v>351.06400000000002</v>
      </c>
      <c r="AA14">
        <f>ALLFOS!AX13</f>
        <v>332.52699999999999</v>
      </c>
      <c r="AB14">
        <f>ALLFOS!AY13</f>
        <v>299.91999999999996</v>
      </c>
      <c r="AC14">
        <f>ALLFOS!AZ13</f>
        <v>281.43400000000003</v>
      </c>
      <c r="AD14">
        <f>ALLFOS!BA13</f>
        <v>283.89699999999999</v>
      </c>
      <c r="AE14">
        <f>ALLFOS!BB13</f>
        <v>283.64800000000002</v>
      </c>
      <c r="AF14">
        <f>ALLFOS!BC13</f>
        <v>293.44200000000001</v>
      </c>
      <c r="AG14">
        <f>ALLFOS!BD13</f>
        <v>283.54999999999995</v>
      </c>
      <c r="AH14">
        <f>ALLFOS!BE13</f>
        <v>263.34000000000003</v>
      </c>
      <c r="AI14">
        <f>ALLFOS!BF13</f>
        <v>253.678</v>
      </c>
      <c r="AJ14">
        <f>ALLFOS!BG13</f>
        <v>250.36500000000001</v>
      </c>
      <c r="AK14">
        <f>ALLFOS!BH13</f>
        <v>250.6</v>
      </c>
      <c r="AL14">
        <f>ALLFOS!BI13</f>
        <v>250.17000000000002</v>
      </c>
      <c r="AM14">
        <f>ALLFOS!BJ13</f>
        <v>217.94100000000003</v>
      </c>
      <c r="AN14">
        <f>SUMIF($T$3:$T$77,"=12",L$3:L$77)</f>
        <v>236.85100000000003</v>
      </c>
      <c r="AO14">
        <f>SUMIF($T$3:$T$77,"=12",M$3:M$77)</f>
        <v>276.36599999999999</v>
      </c>
      <c r="AP14">
        <f>SUMIF($T$3:$T$77,"=12",N$3:N$77)</f>
        <v>256.06799999999998</v>
      </c>
      <c r="AR14">
        <f>[6]Asmt4!AE95</f>
        <v>110.82210119999999</v>
      </c>
    </row>
    <row r="15" spans="1:56" x14ac:dyDescent="0.2">
      <c r="A15" s="54" t="s">
        <v>172</v>
      </c>
      <c r="B15" s="53">
        <v>253.2</v>
      </c>
      <c r="C15" s="53">
        <v>250.2</v>
      </c>
      <c r="D15" s="53">
        <v>255.2</v>
      </c>
      <c r="E15" s="53">
        <v>244.5</v>
      </c>
      <c r="F15" s="53">
        <v>228.7</v>
      </c>
      <c r="G15" s="53">
        <v>221.1</v>
      </c>
      <c r="H15" s="53">
        <v>211.4</v>
      </c>
      <c r="I15" s="53">
        <v>232.6</v>
      </c>
      <c r="J15" s="53">
        <v>213.7</v>
      </c>
      <c r="K15" s="53">
        <v>184.4</v>
      </c>
      <c r="L15" s="53">
        <v>182.1</v>
      </c>
      <c r="M15" s="53">
        <v>174.7</v>
      </c>
      <c r="N15" s="53">
        <v>167.7</v>
      </c>
      <c r="O15" s="53">
        <v>165.5</v>
      </c>
      <c r="P15" s="53">
        <v>159.1</v>
      </c>
      <c r="Q15" s="53">
        <v>151</v>
      </c>
      <c r="R15" s="53"/>
      <c r="S15" s="53">
        <v>13</v>
      </c>
      <c r="T15" s="53">
        <v>10</v>
      </c>
      <c r="V15">
        <v>333</v>
      </c>
      <c r="W15">
        <f t="shared" si="1"/>
        <v>13</v>
      </c>
      <c r="X15">
        <f>ALLFOS!AU14</f>
        <v>283.69899999999996</v>
      </c>
      <c r="Y15">
        <f>ALLFOS!AV14</f>
        <v>289.54200000000003</v>
      </c>
      <c r="Z15">
        <f>ALLFOS!AW14</f>
        <v>301.60399999999993</v>
      </c>
      <c r="AA15">
        <f>ALLFOS!AX14</f>
        <v>291.31099999999998</v>
      </c>
      <c r="AB15">
        <f>ALLFOS!AY14</f>
        <v>276.55500000000001</v>
      </c>
      <c r="AC15">
        <f>ALLFOS!AZ14</f>
        <v>253.18</v>
      </c>
      <c r="AD15">
        <f>ALLFOS!BA14</f>
        <v>248.88</v>
      </c>
      <c r="AE15">
        <f>ALLFOS!BB14</f>
        <v>247.09899999999999</v>
      </c>
      <c r="AF15">
        <f>ALLFOS!BC14</f>
        <v>255.14699999999999</v>
      </c>
      <c r="AG15">
        <f>ALLFOS!BD14</f>
        <v>258.47400000000005</v>
      </c>
      <c r="AH15">
        <f>ALLFOS!BE14</f>
        <v>243.15600000000001</v>
      </c>
      <c r="AI15">
        <f>ALLFOS!BF14</f>
        <v>228.27199999999999</v>
      </c>
      <c r="AJ15">
        <f>ALLFOS!BG14</f>
        <v>223.73099999999999</v>
      </c>
      <c r="AK15">
        <f>ALLFOS!BH14</f>
        <v>215.297</v>
      </c>
      <c r="AL15">
        <f>ALLFOS!BI14</f>
        <v>213.18100000000004</v>
      </c>
      <c r="AM15">
        <f>ALLFOS!BJ14</f>
        <v>182.15299999999999</v>
      </c>
      <c r="AN15">
        <f>SUMIF($T$3:$T$77,"=13",L$3:L$77)</f>
        <v>195.41500000000002</v>
      </c>
      <c r="AO15">
        <f>SUMIF($T$3:$T$77,"=13",M$3:M$77)</f>
        <v>190.36399999999998</v>
      </c>
      <c r="AP15">
        <f>SUMIF($T$3:$T$77,"=13",N$3:N$77)</f>
        <v>197.45000000000002</v>
      </c>
      <c r="AR15">
        <f>[6]Asmt4!AE96</f>
        <v>83.661216399999986</v>
      </c>
    </row>
    <row r="16" spans="1:56" x14ac:dyDescent="0.2">
      <c r="A16" s="54" t="s">
        <v>173</v>
      </c>
      <c r="B16" s="53">
        <v>404.2</v>
      </c>
      <c r="C16" s="53">
        <v>432.7</v>
      </c>
      <c r="D16" s="53">
        <v>418.9</v>
      </c>
      <c r="E16" s="53">
        <v>411.4</v>
      </c>
      <c r="F16" s="53">
        <v>361.1</v>
      </c>
      <c r="G16" s="53">
        <v>354.7</v>
      </c>
      <c r="H16" s="53">
        <v>287.10000000000002</v>
      </c>
      <c r="I16" s="53">
        <v>289.39999999999998</v>
      </c>
      <c r="J16" s="53">
        <v>319</v>
      </c>
      <c r="K16" s="53">
        <v>298.39999999999998</v>
      </c>
      <c r="L16" s="53">
        <v>287.7</v>
      </c>
      <c r="M16" s="53">
        <v>284.60000000000002</v>
      </c>
      <c r="N16" s="53">
        <v>265.7</v>
      </c>
      <c r="O16" s="53">
        <v>253.1</v>
      </c>
      <c r="P16" s="53">
        <v>261.2</v>
      </c>
      <c r="Q16" s="53">
        <v>234.9</v>
      </c>
      <c r="R16" s="53"/>
      <c r="S16" s="53">
        <v>14</v>
      </c>
      <c r="T16" s="53">
        <v>10</v>
      </c>
      <c r="V16">
        <v>334</v>
      </c>
      <c r="W16">
        <f t="shared" si="1"/>
        <v>14</v>
      </c>
      <c r="X16">
        <f>ALLFOS!AU15</f>
        <v>102.867</v>
      </c>
      <c r="Y16">
        <f>ALLFOS!AV15</f>
        <v>104.08199999999999</v>
      </c>
      <c r="Z16">
        <f>ALLFOS!AW15</f>
        <v>102.52799999999999</v>
      </c>
      <c r="AA16">
        <f>ALLFOS!AX15</f>
        <v>89.157000000000011</v>
      </c>
      <c r="AB16">
        <f>ALLFOS!AY15</f>
        <v>75.045999999999992</v>
      </c>
      <c r="AC16">
        <f>ALLFOS!AZ15</f>
        <v>75.716000000000008</v>
      </c>
      <c r="AD16">
        <f>ALLFOS!BA15</f>
        <v>75.249000000000009</v>
      </c>
      <c r="AE16">
        <f>ALLFOS!BB15</f>
        <v>77.572000000000003</v>
      </c>
      <c r="AF16">
        <f>ALLFOS!BC15</f>
        <v>83.158999999999992</v>
      </c>
      <c r="AG16">
        <f>ALLFOS!BD15</f>
        <v>78.078000000000003</v>
      </c>
      <c r="AH16">
        <f>ALLFOS!BE15</f>
        <v>77.676999999999992</v>
      </c>
      <c r="AI16">
        <f>ALLFOS!BF15</f>
        <v>74.290000000000006</v>
      </c>
      <c r="AJ16">
        <f>ALLFOS!BG15</f>
        <v>82.95</v>
      </c>
      <c r="AK16">
        <f>ALLFOS!BH15</f>
        <v>84.315000000000012</v>
      </c>
      <c r="AL16">
        <f>ALLFOS!BI15</f>
        <v>85.218000000000004</v>
      </c>
      <c r="AM16">
        <f>ALLFOS!BJ15</f>
        <v>82.200999999999993</v>
      </c>
      <c r="AN16">
        <f>SUMIF($T$3:$T$77,"=14",L$3:L$77)</f>
        <v>84.2</v>
      </c>
      <c r="AO16">
        <f>SUMIF($T$3:$T$77,"=14",M$3:M$77)</f>
        <v>82.79</v>
      </c>
      <c r="AP16">
        <f>SUMIF($T$3:$T$77,"=14",N$3:N$77)</f>
        <v>81.17</v>
      </c>
      <c r="AR16">
        <f>[6]Asmt4!AE97</f>
        <v>106.67549759999999</v>
      </c>
    </row>
    <row r="17" spans="1:49" x14ac:dyDescent="0.2">
      <c r="A17" s="54" t="s">
        <v>174</v>
      </c>
      <c r="B17" s="53">
        <v>437.5</v>
      </c>
      <c r="C17" s="53">
        <v>438.9</v>
      </c>
      <c r="D17" s="53">
        <v>461</v>
      </c>
      <c r="E17" s="53">
        <v>467.9</v>
      </c>
      <c r="F17" s="53">
        <v>406.8</v>
      </c>
      <c r="G17" s="53">
        <v>374.9</v>
      </c>
      <c r="H17" s="53">
        <v>296</v>
      </c>
      <c r="I17" s="53">
        <v>345.2</v>
      </c>
      <c r="J17" s="53">
        <v>344.5</v>
      </c>
      <c r="K17" s="53">
        <v>317.7</v>
      </c>
      <c r="L17" s="53">
        <v>351.4</v>
      </c>
      <c r="M17" s="53">
        <v>339.7</v>
      </c>
      <c r="N17" s="53">
        <v>345.7</v>
      </c>
      <c r="O17" s="53">
        <v>336.2</v>
      </c>
      <c r="P17" s="53">
        <v>309.2</v>
      </c>
      <c r="Q17" s="53">
        <v>298.10000000000002</v>
      </c>
      <c r="R17" s="53"/>
      <c r="S17" s="53">
        <v>15</v>
      </c>
      <c r="T17" s="53">
        <v>10</v>
      </c>
      <c r="V17">
        <v>335</v>
      </c>
      <c r="W17">
        <f t="shared" si="1"/>
        <v>15</v>
      </c>
      <c r="X17">
        <f>ALLFOS!AU16</f>
        <v>118.36</v>
      </c>
      <c r="Y17">
        <f>ALLFOS!AV16</f>
        <v>117.557</v>
      </c>
      <c r="Z17">
        <f>ALLFOS!AW16</f>
        <v>123.46999999999998</v>
      </c>
      <c r="AA17">
        <f>ALLFOS!AX16</f>
        <v>120.851</v>
      </c>
      <c r="AB17">
        <f>ALLFOS!AY16</f>
        <v>107.24499999999999</v>
      </c>
      <c r="AC17">
        <f>ALLFOS!AZ16</f>
        <v>92.859000000000009</v>
      </c>
      <c r="AD17">
        <f>ALLFOS!BA16</f>
        <v>98.213000000000008</v>
      </c>
      <c r="AE17">
        <f>ALLFOS!BB16</f>
        <v>99.253</v>
      </c>
      <c r="AF17">
        <f>ALLFOS!BC16</f>
        <v>101.03100000000001</v>
      </c>
      <c r="AG17">
        <f>ALLFOS!BD16</f>
        <v>101.43899999999999</v>
      </c>
      <c r="AH17">
        <f>ALLFOS!BE16</f>
        <v>92.129000000000005</v>
      </c>
      <c r="AI17">
        <f>ALLFOS!BF16</f>
        <v>87.584000000000003</v>
      </c>
      <c r="AJ17">
        <f>ALLFOS!BG16</f>
        <v>83.053000000000011</v>
      </c>
      <c r="AK17">
        <f>ALLFOS!BH16</f>
        <v>87.067000000000007</v>
      </c>
      <c r="AL17">
        <f>ALLFOS!BI16</f>
        <v>84.655999999999992</v>
      </c>
      <c r="AM17">
        <f>ALLFOS!BJ16</f>
        <v>74.387</v>
      </c>
      <c r="AN17">
        <f>SUMIF($T$3:$T$77,"=15",L$3:L$77)</f>
        <v>81.389999999999986</v>
      </c>
      <c r="AO17">
        <f>SUMIF($T$3:$T$77,"=15",M$3:M$77)</f>
        <v>81.5</v>
      </c>
      <c r="AP17">
        <f>SUMIF($T$3:$T$77,"=15",N$3:N$77)</f>
        <v>75.430000000000007</v>
      </c>
      <c r="AR17">
        <f>[6]Asmt4!AE98</f>
        <v>43.329670399999998</v>
      </c>
    </row>
    <row r="18" spans="1:49" x14ac:dyDescent="0.2">
      <c r="A18" s="54" t="s">
        <v>175</v>
      </c>
      <c r="B18" s="53">
        <v>2850</v>
      </c>
      <c r="C18" s="53">
        <v>2713</v>
      </c>
      <c r="D18" s="53">
        <v>2907</v>
      </c>
      <c r="E18" s="53">
        <v>2883</v>
      </c>
      <c r="F18" s="53">
        <v>2295</v>
      </c>
      <c r="G18" s="53">
        <v>2312</v>
      </c>
      <c r="H18" s="53">
        <v>1492</v>
      </c>
      <c r="I18" s="53">
        <v>1629</v>
      </c>
      <c r="J18" s="53">
        <v>1661</v>
      </c>
      <c r="K18" s="53">
        <v>1539</v>
      </c>
      <c r="L18" s="53">
        <v>1315</v>
      </c>
      <c r="M18" s="53">
        <v>1223</v>
      </c>
      <c r="N18" s="53">
        <v>1328</v>
      </c>
      <c r="O18" s="53">
        <v>1372</v>
      </c>
      <c r="P18" s="53">
        <v>1360</v>
      </c>
      <c r="Q18" s="53">
        <v>1155</v>
      </c>
      <c r="R18" s="53"/>
      <c r="S18" s="53">
        <v>16</v>
      </c>
      <c r="T18" s="53">
        <v>11</v>
      </c>
      <c r="V18">
        <v>336</v>
      </c>
      <c r="W18">
        <f t="shared" si="1"/>
        <v>16</v>
      </c>
      <c r="X18">
        <f>ALLFOS!AU17</f>
        <v>266.45600000000002</v>
      </c>
      <c r="Y18">
        <f>ALLFOS!AV17</f>
        <v>279.03300000000002</v>
      </c>
      <c r="Z18">
        <f>ALLFOS!AW17</f>
        <v>285.73</v>
      </c>
      <c r="AA18">
        <f>ALLFOS!AX17</f>
        <v>267.85900000000004</v>
      </c>
      <c r="AB18">
        <f>ALLFOS!AY17</f>
        <v>254.50400000000002</v>
      </c>
      <c r="AC18">
        <f>ALLFOS!AZ17</f>
        <v>239.07300000000001</v>
      </c>
      <c r="AD18">
        <f>ALLFOS!BA17</f>
        <v>262.28500000000003</v>
      </c>
      <c r="AE18">
        <f>ALLFOS!BB17</f>
        <v>260.81200000000001</v>
      </c>
      <c r="AF18">
        <f>ALLFOS!BC17</f>
        <v>269.23400000000004</v>
      </c>
      <c r="AG18">
        <f>ALLFOS!BD17</f>
        <v>254.19799999999998</v>
      </c>
      <c r="AH18">
        <f>ALLFOS!BE17</f>
        <v>221.88100000000003</v>
      </c>
      <c r="AI18">
        <f>ALLFOS!BF17</f>
        <v>209.71600000000001</v>
      </c>
      <c r="AJ18">
        <f>ALLFOS!BG17</f>
        <v>193.49799999999999</v>
      </c>
      <c r="AK18">
        <f>ALLFOS!BH17</f>
        <v>216.91</v>
      </c>
      <c r="AL18">
        <f>ALLFOS!BI17</f>
        <v>215.756</v>
      </c>
      <c r="AM18">
        <f>ALLFOS!BJ17</f>
        <v>197.72199999999998</v>
      </c>
      <c r="AN18">
        <f>SUMIF($T$3:$T$77,"=16",L$3:L$77)</f>
        <v>208.619</v>
      </c>
      <c r="AO18">
        <f>SUMIF($T$3:$T$77,"=16",M$3:M$77)</f>
        <v>207.78199999999998</v>
      </c>
      <c r="AP18">
        <f>SUMIF($T$3:$T$77,"=16",N$3:N$77)</f>
        <v>219.596</v>
      </c>
      <c r="AR18">
        <f>[6]Asmt4!AE99</f>
        <v>149.9430696</v>
      </c>
      <c r="AW18">
        <f>33482*3.412*0.001</f>
        <v>114.240584</v>
      </c>
    </row>
    <row r="19" spans="1:49" x14ac:dyDescent="0.2">
      <c r="A19" s="54" t="s">
        <v>176</v>
      </c>
      <c r="B19" s="53">
        <v>133.4</v>
      </c>
      <c r="C19" s="53">
        <v>151</v>
      </c>
      <c r="D19" s="53">
        <v>162.4</v>
      </c>
      <c r="E19" s="53">
        <v>156.9</v>
      </c>
      <c r="F19" s="53">
        <v>135.6</v>
      </c>
      <c r="G19" s="53">
        <v>134.30000000000001</v>
      </c>
      <c r="H19" s="53">
        <v>99.03</v>
      </c>
      <c r="I19" s="53">
        <v>120.1</v>
      </c>
      <c r="J19" s="53">
        <v>120.3</v>
      </c>
      <c r="K19" s="53">
        <v>105.9</v>
      </c>
      <c r="L19" s="53">
        <v>101.8</v>
      </c>
      <c r="M19" s="53">
        <v>103.3</v>
      </c>
      <c r="N19" s="53">
        <v>110.7</v>
      </c>
      <c r="O19" s="53">
        <v>107</v>
      </c>
      <c r="P19" s="53">
        <v>98.54</v>
      </c>
      <c r="Q19" s="53">
        <v>92.51</v>
      </c>
      <c r="R19" s="53"/>
      <c r="S19" s="53">
        <v>17</v>
      </c>
      <c r="T19" s="53">
        <v>11</v>
      </c>
      <c r="V19">
        <v>337</v>
      </c>
      <c r="W19">
        <f t="shared" si="1"/>
        <v>17</v>
      </c>
      <c r="X19">
        <f>ALLFOS!AU18</f>
        <v>36.542000000000002</v>
      </c>
      <c r="Y19">
        <f>ALLFOS!AV18</f>
        <v>40.512</v>
      </c>
      <c r="Z19">
        <f>ALLFOS!AW18</f>
        <v>45.897999999999996</v>
      </c>
      <c r="AA19">
        <f>ALLFOS!AX18</f>
        <v>38.832000000000001</v>
      </c>
      <c r="AB19">
        <f>ALLFOS!AY18</f>
        <v>40.097999999999999</v>
      </c>
      <c r="AC19">
        <f>ALLFOS!AZ18</f>
        <v>33.162999999999997</v>
      </c>
      <c r="AD19">
        <f>ALLFOS!BA18</f>
        <v>32.265000000000001</v>
      </c>
      <c r="AE19">
        <f>ALLFOS!BB18</f>
        <v>35.975000000000001</v>
      </c>
      <c r="AF19">
        <f>ALLFOS!BC18</f>
        <v>37.741</v>
      </c>
      <c r="AG19">
        <f>ALLFOS!BD18</f>
        <v>35.497999999999998</v>
      </c>
      <c r="AH19">
        <f>ALLFOS!BE18</f>
        <v>32.052999999999997</v>
      </c>
      <c r="AI19">
        <f>ALLFOS!BF18</f>
        <v>29.422000000000001</v>
      </c>
      <c r="AJ19">
        <f>ALLFOS!BG18</f>
        <v>27.563000000000002</v>
      </c>
      <c r="AK19">
        <f>ALLFOS!BH18</f>
        <v>28.326000000000001</v>
      </c>
      <c r="AL19">
        <f>ALLFOS!BI18</f>
        <v>29.992999999999999</v>
      </c>
      <c r="AM19">
        <f>ALLFOS!BJ18</f>
        <v>28.048999999999999</v>
      </c>
      <c r="AN19">
        <f>SUMIF($T$3:$T$77,"=17",L$3:L$77)</f>
        <v>31.92</v>
      </c>
      <c r="AO19">
        <f>SUMIF($T$3:$T$77,"=17",M$3:M$77)</f>
        <v>34.92</v>
      </c>
      <c r="AP19">
        <f>SUMIF($T$3:$T$77,"=17",N$3:N$77)</f>
        <v>37.69</v>
      </c>
      <c r="AR19">
        <f>[6]Asmt4!AE100</f>
        <v>21.677459599999995</v>
      </c>
    </row>
    <row r="20" spans="1:49" x14ac:dyDescent="0.2">
      <c r="A20" s="54" t="s">
        <v>177</v>
      </c>
      <c r="B20" s="53">
        <v>105.6</v>
      </c>
      <c r="C20" s="53">
        <v>112.1</v>
      </c>
      <c r="D20" s="53">
        <v>100</v>
      </c>
      <c r="E20" s="53">
        <v>144.5</v>
      </c>
      <c r="F20" s="53">
        <v>143.5</v>
      </c>
      <c r="G20" s="53">
        <v>78.09</v>
      </c>
      <c r="H20" s="53">
        <v>56.33</v>
      </c>
      <c r="I20" s="53">
        <v>42.08</v>
      </c>
      <c r="J20" s="53">
        <v>48.39</v>
      </c>
      <c r="K20" s="53">
        <v>29.11</v>
      </c>
      <c r="L20" s="53">
        <v>21.26</v>
      </c>
      <c r="M20" s="53">
        <v>18.73</v>
      </c>
      <c r="N20" s="53">
        <v>20.02</v>
      </c>
      <c r="O20" s="53">
        <v>20.2</v>
      </c>
      <c r="P20" s="53">
        <v>18.920000000000002</v>
      </c>
      <c r="Q20" s="53">
        <v>17.38</v>
      </c>
      <c r="R20" s="53"/>
      <c r="S20" s="53">
        <v>18</v>
      </c>
      <c r="T20" s="53">
        <v>11</v>
      </c>
      <c r="V20">
        <v>339</v>
      </c>
      <c r="W20">
        <f t="shared" si="1"/>
        <v>18</v>
      </c>
      <c r="X20">
        <f>ALLFOS!AU19</f>
        <v>39.082000000000001</v>
      </c>
      <c r="Y20">
        <f>ALLFOS!AV19</f>
        <v>41.152999999999999</v>
      </c>
      <c r="Z20">
        <f>ALLFOS!AW19</f>
        <v>46.9</v>
      </c>
      <c r="AA20">
        <f>ALLFOS!AX19</f>
        <v>40.066000000000003</v>
      </c>
      <c r="AB20">
        <f>ALLFOS!AY19</f>
        <v>35.384999999999998</v>
      </c>
      <c r="AC20">
        <f>ALLFOS!AZ19</f>
        <v>32.04</v>
      </c>
      <c r="AD20">
        <f>ALLFOS!BA19</f>
        <v>31.736999999999998</v>
      </c>
      <c r="AE20">
        <f>ALLFOS!BB19</f>
        <v>30.712</v>
      </c>
      <c r="AF20">
        <f>ALLFOS!BC19</f>
        <v>32.173000000000002</v>
      </c>
      <c r="AG20">
        <f>ALLFOS!BD19</f>
        <v>30.937000000000001</v>
      </c>
      <c r="AH20">
        <f>ALLFOS!BE19</f>
        <v>29.077999999999999</v>
      </c>
      <c r="AI20">
        <f>ALLFOS!BF19</f>
        <v>26.722000000000001</v>
      </c>
      <c r="AJ20">
        <f>ALLFOS!BG19</f>
        <v>22.975999999999999</v>
      </c>
      <c r="AK20">
        <f>ALLFOS!BH19</f>
        <v>24.809000000000001</v>
      </c>
      <c r="AL20">
        <f>ALLFOS!BI19</f>
        <v>24.38</v>
      </c>
      <c r="AM20">
        <f>ALLFOS!BJ19</f>
        <v>20.68</v>
      </c>
      <c r="AN20">
        <f>SUMIF($T$3:$T$77,"=18",L$3:L$77)</f>
        <v>23.64</v>
      </c>
      <c r="AO20">
        <f>SUMIF($T$3:$T$77,"=18",M$3:M$77)</f>
        <v>26.88</v>
      </c>
      <c r="AP20">
        <f>SUMIF($T$3:$T$77,"=18",N$3:N$77)</f>
        <v>28.59</v>
      </c>
      <c r="AR20">
        <f>[6]Asmt4!AE101</f>
        <v>25.476380399999996</v>
      </c>
    </row>
    <row r="21" spans="1:49" x14ac:dyDescent="0.2">
      <c r="A21" s="54" t="s">
        <v>178</v>
      </c>
      <c r="B21" s="53">
        <v>311.5</v>
      </c>
      <c r="C21" s="53">
        <v>317.60000000000002</v>
      </c>
      <c r="D21" s="53">
        <v>321.5</v>
      </c>
      <c r="E21" s="53">
        <v>296.60000000000002</v>
      </c>
      <c r="F21" s="53">
        <v>264.7</v>
      </c>
      <c r="G21" s="53">
        <v>267.10000000000002</v>
      </c>
      <c r="H21" s="53">
        <v>240.7</v>
      </c>
      <c r="I21" s="53">
        <v>262.2</v>
      </c>
      <c r="J21" s="53">
        <v>245.2</v>
      </c>
      <c r="K21" s="53">
        <v>207.4</v>
      </c>
      <c r="L21" s="53">
        <v>200.3</v>
      </c>
      <c r="M21" s="53">
        <v>192.6</v>
      </c>
      <c r="N21" s="53">
        <v>196.1</v>
      </c>
      <c r="O21" s="53">
        <v>198</v>
      </c>
      <c r="P21" s="53">
        <v>193.7</v>
      </c>
      <c r="Q21" s="53">
        <v>188.5</v>
      </c>
      <c r="R21" s="53"/>
      <c r="S21" s="53">
        <v>19</v>
      </c>
      <c r="T21" s="53">
        <v>11</v>
      </c>
      <c r="X21">
        <f>ELECNEA!AU20</f>
        <v>256.49899999999997</v>
      </c>
      <c r="Y21">
        <f>ELECNEA!AV20</f>
        <v>262.245</v>
      </c>
      <c r="Z21">
        <f>ELECNEA!AW20</f>
        <v>269.37400000000002</v>
      </c>
      <c r="AA21">
        <f>ELECNEA!AX20</f>
        <v>288.09699999999998</v>
      </c>
      <c r="AB21">
        <f>ELECNEA!AY20</f>
        <v>293.44600000000003</v>
      </c>
      <c r="AC21">
        <f>ELECNEA!AZ20</f>
        <v>296.32300000000004</v>
      </c>
      <c r="AD21">
        <f>ELECNEA!BA20</f>
        <v>323.01100000000008</v>
      </c>
      <c r="AE21">
        <f>ELECNEA!BB20</f>
        <v>334.19</v>
      </c>
      <c r="AF21">
        <f>ELECNEA!BC20</f>
        <v>377.32499999999999</v>
      </c>
      <c r="AG21">
        <f>ELECNEA!BD20</f>
        <v>415.90000000000003</v>
      </c>
      <c r="AH21">
        <f>ELECNEA!BE20</f>
        <v>418.94900000000001</v>
      </c>
      <c r="AI21">
        <f>ELECNEA!BF20</f>
        <v>442.85299999999995</v>
      </c>
      <c r="AJ21">
        <f>ELECNEA!BG20</f>
        <v>407.52000000000004</v>
      </c>
      <c r="AK21">
        <f>ELECNEA!BH20</f>
        <v>425.71099999999996</v>
      </c>
      <c r="AL21">
        <f>ELECNEA!BI20</f>
        <v>456.15100000000001</v>
      </c>
      <c r="AM21">
        <f>ELECNEA!BJ20</f>
        <v>462.06799999999993</v>
      </c>
      <c r="AN21">
        <f>SUM(AN3:AN20)</f>
        <v>9203.9930000000022</v>
      </c>
      <c r="AO21">
        <f>SUM(AO3:AO20)</f>
        <v>8878.1189999999988</v>
      </c>
      <c r="AP21">
        <f>SUM(AP3:AP20)</f>
        <v>9150.4169999999995</v>
      </c>
    </row>
    <row r="22" spans="1:49" x14ac:dyDescent="0.2">
      <c r="A22" s="54" t="s">
        <v>179</v>
      </c>
      <c r="B22" s="53">
        <v>15.11</v>
      </c>
      <c r="C22" s="53">
        <v>13.86</v>
      </c>
      <c r="D22" s="53">
        <v>14.29</v>
      </c>
      <c r="E22" s="53">
        <v>14.37</v>
      </c>
      <c r="F22" s="53">
        <v>13.23</v>
      </c>
      <c r="G22" s="53">
        <v>11.64</v>
      </c>
      <c r="H22" s="53">
        <v>16.16</v>
      </c>
      <c r="I22" s="53">
        <v>15.81</v>
      </c>
      <c r="J22" s="53">
        <v>16.77</v>
      </c>
      <c r="K22" s="53">
        <v>11.61</v>
      </c>
      <c r="L22" s="53">
        <v>12.39</v>
      </c>
      <c r="M22" s="53">
        <v>15.58</v>
      </c>
      <c r="N22" s="53">
        <v>15.35</v>
      </c>
      <c r="O22" s="53">
        <v>13.49</v>
      </c>
      <c r="P22" s="53">
        <v>11.86</v>
      </c>
      <c r="Q22" s="53">
        <v>11.89</v>
      </c>
      <c r="R22" s="53"/>
      <c r="S22" s="53">
        <v>20</v>
      </c>
      <c r="T22" s="53">
        <v>12</v>
      </c>
      <c r="AE22">
        <f>AE21/3.412*1000</f>
        <v>97945.486518171165</v>
      </c>
      <c r="AF22">
        <f t="shared" ref="AF22:AO22" si="2">AF21/3.412*1000</f>
        <v>110587.63188745604</v>
      </c>
      <c r="AG22">
        <f t="shared" si="2"/>
        <v>121893.31770222745</v>
      </c>
      <c r="AH22">
        <f t="shared" si="2"/>
        <v>122786.92848769051</v>
      </c>
      <c r="AI22">
        <f t="shared" si="2"/>
        <v>129792.79015240328</v>
      </c>
      <c r="AJ22">
        <f t="shared" si="2"/>
        <v>119437.28018757328</v>
      </c>
      <c r="AK22">
        <f t="shared" si="2"/>
        <v>124768.75732708088</v>
      </c>
      <c r="AL22">
        <f t="shared" si="2"/>
        <v>133690.21101992967</v>
      </c>
      <c r="AM22">
        <f t="shared" si="2"/>
        <v>135424.38452520515</v>
      </c>
      <c r="AN22">
        <f t="shared" si="2"/>
        <v>2697536.0492379842</v>
      </c>
      <c r="AO22">
        <f t="shared" si="2"/>
        <v>2602027.8429073854</v>
      </c>
      <c r="AP22">
        <f>AP21/3.412*1000</f>
        <v>2681833.8218053929</v>
      </c>
      <c r="AR22" s="5">
        <f>SUM(AR3:AR20)</f>
        <v>2363.7070147999998</v>
      </c>
    </row>
    <row r="23" spans="1:49" x14ac:dyDescent="0.2">
      <c r="A23" s="54" t="s">
        <v>180</v>
      </c>
      <c r="B23" s="53">
        <v>47.62</v>
      </c>
      <c r="C23" s="53">
        <v>46.89</v>
      </c>
      <c r="D23" s="53">
        <v>48.52</v>
      </c>
      <c r="E23" s="53">
        <v>47.5</v>
      </c>
      <c r="F23" s="53">
        <v>42.99</v>
      </c>
      <c r="G23" s="53">
        <v>41.83</v>
      </c>
      <c r="H23" s="53">
        <v>31.59</v>
      </c>
      <c r="I23" s="53">
        <v>28.38</v>
      </c>
      <c r="J23" s="53">
        <v>31.31</v>
      </c>
      <c r="K23" s="53">
        <v>26.01</v>
      </c>
      <c r="L23" s="53">
        <v>25.14</v>
      </c>
      <c r="M23" s="53">
        <v>27.04</v>
      </c>
      <c r="N23" s="53">
        <v>26.76</v>
      </c>
      <c r="O23" s="53">
        <v>26.8</v>
      </c>
      <c r="P23" s="53">
        <v>27.89</v>
      </c>
      <c r="Q23" s="53">
        <v>25.6</v>
      </c>
      <c r="R23" s="53"/>
      <c r="S23" s="53">
        <v>21</v>
      </c>
      <c r="T23" s="53">
        <v>12</v>
      </c>
      <c r="V23" t="s">
        <v>24</v>
      </c>
      <c r="AR23" s="5">
        <f>SUM(AR14:AR20)</f>
        <v>541.58539519999999</v>
      </c>
    </row>
    <row r="24" spans="1:49" x14ac:dyDescent="0.2">
      <c r="A24" s="54" t="s">
        <v>187</v>
      </c>
      <c r="B24" s="53">
        <v>27.91</v>
      </c>
      <c r="C24" s="53">
        <v>27.63</v>
      </c>
      <c r="D24" s="53">
        <v>27.47</v>
      </c>
      <c r="E24" s="53">
        <v>25.72</v>
      </c>
      <c r="F24" s="53">
        <v>24.55</v>
      </c>
      <c r="G24" s="53">
        <v>22.76</v>
      </c>
      <c r="H24" s="53">
        <v>21.92</v>
      </c>
      <c r="I24" s="53">
        <v>22.14</v>
      </c>
      <c r="J24" s="53">
        <v>20.66</v>
      </c>
      <c r="K24" s="53">
        <v>17.88</v>
      </c>
      <c r="L24" s="53">
        <v>19.54</v>
      </c>
      <c r="M24" s="53">
        <v>19.89</v>
      </c>
      <c r="N24" s="53">
        <v>18.690000000000001</v>
      </c>
      <c r="O24" s="53">
        <v>18.809999999999999</v>
      </c>
      <c r="P24" s="53">
        <v>18.149999999999999</v>
      </c>
      <c r="Q24" s="53">
        <v>18.739999999999998</v>
      </c>
      <c r="R24" s="53"/>
      <c r="S24" s="53">
        <v>22</v>
      </c>
      <c r="T24" s="53">
        <v>12</v>
      </c>
    </row>
    <row r="25" spans="1:49" x14ac:dyDescent="0.2">
      <c r="A25" s="54" t="s">
        <v>181</v>
      </c>
      <c r="B25" s="53">
        <v>57.89</v>
      </c>
      <c r="C25" s="53">
        <v>55.89</v>
      </c>
      <c r="D25" s="53">
        <v>58.91</v>
      </c>
      <c r="E25" s="53">
        <v>60.07</v>
      </c>
      <c r="F25" s="53">
        <v>56.99</v>
      </c>
      <c r="G25" s="53">
        <v>52.27</v>
      </c>
      <c r="H25" s="53">
        <v>53.81</v>
      </c>
      <c r="I25" s="53">
        <v>52.61</v>
      </c>
      <c r="J25" s="53">
        <v>49.23</v>
      </c>
      <c r="K25" s="53">
        <v>43.81</v>
      </c>
      <c r="L25" s="53">
        <v>48.63</v>
      </c>
      <c r="M25" s="53">
        <v>51.63</v>
      </c>
      <c r="N25" s="53">
        <v>52.75</v>
      </c>
      <c r="O25" s="53">
        <v>53.62</v>
      </c>
      <c r="P25" s="53">
        <v>48.32</v>
      </c>
      <c r="Q25" s="53">
        <v>49.51</v>
      </c>
      <c r="R25" s="53"/>
      <c r="S25" s="53">
        <v>23</v>
      </c>
      <c r="T25" s="53">
        <v>12</v>
      </c>
      <c r="AM25" s="52"/>
    </row>
    <row r="26" spans="1:49" x14ac:dyDescent="0.2">
      <c r="A26" s="54" t="s">
        <v>182</v>
      </c>
      <c r="B26" s="53">
        <v>14.33</v>
      </c>
      <c r="C26" s="53">
        <v>15.05</v>
      </c>
      <c r="D26" s="53">
        <v>15.82</v>
      </c>
      <c r="E26" s="53">
        <v>15.47</v>
      </c>
      <c r="F26" s="53">
        <v>13.96</v>
      </c>
      <c r="G26" s="53">
        <v>12.89</v>
      </c>
      <c r="H26" s="53">
        <v>11.27</v>
      </c>
      <c r="I26" s="53">
        <v>11.64</v>
      </c>
      <c r="J26" s="53">
        <v>11.41</v>
      </c>
      <c r="K26" s="53">
        <v>9.3309999999999995</v>
      </c>
      <c r="L26" s="53">
        <v>9.4710000000000001</v>
      </c>
      <c r="M26" s="53">
        <v>9.7460000000000004</v>
      </c>
      <c r="N26" s="53">
        <v>9.9480000000000004</v>
      </c>
      <c r="O26" s="53">
        <v>10</v>
      </c>
      <c r="P26" s="53">
        <v>9.8879999999999999</v>
      </c>
      <c r="Q26" s="53">
        <v>9.99</v>
      </c>
      <c r="R26" s="53"/>
      <c r="S26" s="53">
        <v>24</v>
      </c>
      <c r="T26" s="53">
        <v>12</v>
      </c>
      <c r="V26" s="2" t="s">
        <v>12</v>
      </c>
      <c r="W26">
        <v>1</v>
      </c>
      <c r="X26">
        <f>X3</f>
        <v>882.41100000000006</v>
      </c>
      <c r="Y26">
        <f t="shared" ref="Y26:AD26" si="3">Y3</f>
        <v>896.35400000000004</v>
      </c>
      <c r="Z26">
        <f t="shared" si="3"/>
        <v>889.75599999999997</v>
      </c>
      <c r="AA26">
        <f t="shared" si="3"/>
        <v>863.04500000000007</v>
      </c>
      <c r="AB26">
        <f t="shared" si="3"/>
        <v>788.71900000000005</v>
      </c>
      <c r="AC26">
        <f t="shared" si="3"/>
        <v>791.38300000000004</v>
      </c>
      <c r="AD26">
        <f t="shared" si="3"/>
        <v>795.08199999999999</v>
      </c>
      <c r="AE26">
        <f>AE3</f>
        <v>803.29600000000005</v>
      </c>
      <c r="AF26">
        <f t="shared" ref="AF26:AL26" si="4">AF3</f>
        <v>826.99199999999996</v>
      </c>
      <c r="AG26">
        <f t="shared" si="4"/>
        <v>798.23899999999992</v>
      </c>
      <c r="AH26">
        <f t="shared" si="4"/>
        <v>793.90499999999997</v>
      </c>
      <c r="AI26">
        <f t="shared" si="4"/>
        <v>750.38799999999992</v>
      </c>
      <c r="AJ26">
        <f t="shared" si="4"/>
        <v>767.68</v>
      </c>
      <c r="AK26">
        <f t="shared" si="4"/>
        <v>797.24399999999991</v>
      </c>
      <c r="AL26">
        <f t="shared" si="4"/>
        <v>791.21399999999994</v>
      </c>
      <c r="AM26">
        <f t="shared" ref="AM26:AO43" si="5">AM3</f>
        <v>700.952</v>
      </c>
      <c r="AN26">
        <f t="shared" si="5"/>
        <v>745.83</v>
      </c>
      <c r="AO26">
        <f t="shared" si="5"/>
        <v>714.59</v>
      </c>
    </row>
    <row r="27" spans="1:49" x14ac:dyDescent="0.2">
      <c r="A27" s="54" t="s">
        <v>183</v>
      </c>
      <c r="B27" s="53">
        <v>31.51</v>
      </c>
      <c r="C27" s="53">
        <v>33.86</v>
      </c>
      <c r="D27" s="53">
        <v>33.799999999999997</v>
      </c>
      <c r="E27" s="53">
        <v>31.85</v>
      </c>
      <c r="F27" s="53">
        <v>29.66</v>
      </c>
      <c r="G27" s="53">
        <v>27.59</v>
      </c>
      <c r="H27" s="53">
        <v>30.21</v>
      </c>
      <c r="I27" s="53">
        <v>32.96</v>
      </c>
      <c r="J27" s="53">
        <v>30.27</v>
      </c>
      <c r="K27" s="53">
        <v>27.66</v>
      </c>
      <c r="L27" s="53">
        <v>31.78</v>
      </c>
      <c r="M27" s="53">
        <v>60.48</v>
      </c>
      <c r="N27" s="53">
        <v>31.47</v>
      </c>
      <c r="O27" s="53">
        <v>32.799999999999997</v>
      </c>
      <c r="P27" s="53">
        <v>29.95</v>
      </c>
      <c r="Q27" s="53">
        <v>30.82</v>
      </c>
      <c r="R27" s="53"/>
      <c r="S27" s="53">
        <v>25</v>
      </c>
      <c r="T27" s="53">
        <v>12</v>
      </c>
      <c r="V27" s="2" t="s">
        <v>13</v>
      </c>
      <c r="W27">
        <f>W26+1</f>
        <v>2</v>
      </c>
      <c r="X27">
        <f t="shared" ref="X27:AL42" si="6">X4</f>
        <v>254.73499999999999</v>
      </c>
      <c r="Y27">
        <f t="shared" si="6"/>
        <v>271.54899999999998</v>
      </c>
      <c r="Z27">
        <f t="shared" si="6"/>
        <v>273.87000000000006</v>
      </c>
      <c r="AA27">
        <f t="shared" si="6"/>
        <v>252.18700000000001</v>
      </c>
      <c r="AB27">
        <f t="shared" si="6"/>
        <v>220.44800000000001</v>
      </c>
      <c r="AC27">
        <f t="shared" si="6"/>
        <v>219.798</v>
      </c>
      <c r="AD27">
        <f t="shared" si="6"/>
        <v>230.82899999999998</v>
      </c>
      <c r="AE27">
        <f t="shared" si="6"/>
        <v>243.09300000000002</v>
      </c>
      <c r="AF27">
        <f t="shared" si="6"/>
        <v>238.75</v>
      </c>
      <c r="AG27">
        <f t="shared" si="6"/>
        <v>225.91599999999997</v>
      </c>
      <c r="AH27">
        <f t="shared" si="6"/>
        <v>208.69900000000001</v>
      </c>
      <c r="AI27">
        <f t="shared" si="6"/>
        <v>203.875</v>
      </c>
      <c r="AJ27">
        <f t="shared" si="6"/>
        <v>180.465</v>
      </c>
      <c r="AK27">
        <f t="shared" si="6"/>
        <v>202.08600000000001</v>
      </c>
      <c r="AL27">
        <f t="shared" si="6"/>
        <v>198.92</v>
      </c>
      <c r="AM27">
        <f t="shared" si="5"/>
        <v>176.35299999999998</v>
      </c>
      <c r="AN27">
        <f t="shared" si="5"/>
        <v>190.09</v>
      </c>
      <c r="AO27">
        <f t="shared" si="5"/>
        <v>200.22</v>
      </c>
    </row>
    <row r="28" spans="1:49" x14ac:dyDescent="0.2">
      <c r="A28" s="54" t="s">
        <v>184</v>
      </c>
      <c r="B28" s="53">
        <v>89.53</v>
      </c>
      <c r="C28" s="53">
        <v>90.48</v>
      </c>
      <c r="D28" s="53">
        <v>94.64</v>
      </c>
      <c r="E28" s="53">
        <v>88.58</v>
      </c>
      <c r="F28" s="53">
        <v>81.97</v>
      </c>
      <c r="G28" s="53">
        <v>84.7</v>
      </c>
      <c r="H28" s="53">
        <v>85.4</v>
      </c>
      <c r="I28" s="53">
        <v>87.06</v>
      </c>
      <c r="J28" s="53">
        <v>90.54</v>
      </c>
      <c r="K28" s="53">
        <v>81.63</v>
      </c>
      <c r="L28" s="53">
        <v>89.9</v>
      </c>
      <c r="M28" s="53">
        <v>92</v>
      </c>
      <c r="N28" s="53">
        <v>101.1</v>
      </c>
      <c r="O28" s="53">
        <v>99.25</v>
      </c>
      <c r="P28" s="53">
        <v>91.58</v>
      </c>
      <c r="Q28" s="53">
        <v>93.09</v>
      </c>
      <c r="R28" s="53"/>
      <c r="S28" s="53">
        <v>26</v>
      </c>
      <c r="T28" s="53">
        <v>12</v>
      </c>
      <c r="V28" s="2" t="s">
        <v>14</v>
      </c>
      <c r="W28">
        <f t="shared" ref="W28:W43" si="7">W27+1</f>
        <v>3</v>
      </c>
      <c r="X28">
        <f t="shared" si="6"/>
        <v>65.762</v>
      </c>
      <c r="Y28">
        <f t="shared" si="6"/>
        <v>62.195999999999998</v>
      </c>
      <c r="Z28">
        <f t="shared" si="6"/>
        <v>58.408000000000001</v>
      </c>
      <c r="AA28">
        <f t="shared" si="6"/>
        <v>49.652999999999999</v>
      </c>
      <c r="AB28">
        <f t="shared" si="6"/>
        <v>42.930999999999997</v>
      </c>
      <c r="AC28">
        <f t="shared" si="6"/>
        <v>41.317</v>
      </c>
      <c r="AD28">
        <f t="shared" si="6"/>
        <v>40.389999999999993</v>
      </c>
      <c r="AE28">
        <f t="shared" si="6"/>
        <v>44.045000000000002</v>
      </c>
      <c r="AF28">
        <f t="shared" si="6"/>
        <v>45.826999999999998</v>
      </c>
      <c r="AG28">
        <f t="shared" si="6"/>
        <v>41.187999999999995</v>
      </c>
      <c r="AH28">
        <f t="shared" si="6"/>
        <v>40.210999999999999</v>
      </c>
      <c r="AI28">
        <f t="shared" si="6"/>
        <v>40.091999999999999</v>
      </c>
      <c r="AJ28">
        <f t="shared" si="6"/>
        <v>32.204000000000001</v>
      </c>
      <c r="AK28">
        <f t="shared" si="6"/>
        <v>35.009</v>
      </c>
      <c r="AL28">
        <f t="shared" si="6"/>
        <v>30.833999999999996</v>
      </c>
      <c r="AM28">
        <f t="shared" si="5"/>
        <v>26.388000000000002</v>
      </c>
      <c r="AN28">
        <f t="shared" si="5"/>
        <v>31.163000000000004</v>
      </c>
      <c r="AO28">
        <f t="shared" si="5"/>
        <v>31.866000000000003</v>
      </c>
    </row>
    <row r="29" spans="1:49" x14ac:dyDescent="0.2">
      <c r="A29" s="54" t="s">
        <v>185</v>
      </c>
      <c r="B29" s="53">
        <v>21.45</v>
      </c>
      <c r="C29" s="53">
        <v>21.21</v>
      </c>
      <c r="D29" s="53">
        <v>23.14</v>
      </c>
      <c r="E29" s="53">
        <v>22.59</v>
      </c>
      <c r="F29" s="53">
        <v>21.46</v>
      </c>
      <c r="G29" s="53">
        <v>19.64</v>
      </c>
      <c r="H29" s="53">
        <v>18.18</v>
      </c>
      <c r="I29" s="53">
        <v>17.98</v>
      </c>
      <c r="J29" s="53">
        <v>15.58</v>
      </c>
      <c r="K29" s="53">
        <v>13.21</v>
      </c>
      <c r="L29" s="53">
        <v>14.39</v>
      </c>
      <c r="M29" s="53">
        <v>12.5</v>
      </c>
      <c r="N29" s="53">
        <v>12.25</v>
      </c>
      <c r="O29" s="53">
        <v>11.97</v>
      </c>
      <c r="P29" s="53">
        <v>10.01</v>
      </c>
      <c r="Q29" s="53">
        <v>9.83</v>
      </c>
      <c r="R29" s="53"/>
      <c r="S29" s="53">
        <v>27</v>
      </c>
      <c r="T29" s="53">
        <v>13</v>
      </c>
      <c r="V29">
        <v>321</v>
      </c>
      <c r="W29">
        <f t="shared" si="7"/>
        <v>4</v>
      </c>
      <c r="X29">
        <f t="shared" si="6"/>
        <v>437.23400000000004</v>
      </c>
      <c r="Y29">
        <f t="shared" si="6"/>
        <v>429.00200000000001</v>
      </c>
      <c r="Z29">
        <f t="shared" si="6"/>
        <v>449.85399999999998</v>
      </c>
      <c r="AA29">
        <f t="shared" si="6"/>
        <v>463.42200000000003</v>
      </c>
      <c r="AB29">
        <f t="shared" si="6"/>
        <v>443.20599999999996</v>
      </c>
      <c r="AC29">
        <f t="shared" si="6"/>
        <v>415.05</v>
      </c>
      <c r="AD29">
        <f t="shared" si="6"/>
        <v>448.471</v>
      </c>
      <c r="AE29">
        <f t="shared" si="6"/>
        <v>445.00799999999998</v>
      </c>
      <c r="AF29">
        <f t="shared" si="6"/>
        <v>485.37400000000002</v>
      </c>
      <c r="AG29">
        <f t="shared" si="6"/>
        <v>484.101</v>
      </c>
      <c r="AH29">
        <f t="shared" si="6"/>
        <v>455.52300000000002</v>
      </c>
      <c r="AI29">
        <f t="shared" si="6"/>
        <v>451.28799999999995</v>
      </c>
      <c r="AJ29">
        <f t="shared" si="6"/>
        <v>393.88299999999998</v>
      </c>
      <c r="AK29">
        <f t="shared" si="6"/>
        <v>433.86200000000002</v>
      </c>
      <c r="AL29">
        <f t="shared" si="6"/>
        <v>459.62899999999996</v>
      </c>
      <c r="AM29">
        <f t="shared" si="5"/>
        <v>469.87200000000007</v>
      </c>
      <c r="AN29">
        <f t="shared" si="5"/>
        <v>83.364999999999995</v>
      </c>
      <c r="AO29">
        <f t="shared" si="5"/>
        <v>85.831000000000003</v>
      </c>
    </row>
    <row r="30" spans="1:49" x14ac:dyDescent="0.2">
      <c r="A30" s="54" t="s">
        <v>186</v>
      </c>
      <c r="B30" s="53">
        <v>28.53</v>
      </c>
      <c r="C30" s="53">
        <v>29.62</v>
      </c>
      <c r="D30" s="53">
        <v>27.4</v>
      </c>
      <c r="E30" s="53">
        <v>29.02</v>
      </c>
      <c r="F30" s="53">
        <v>25.16</v>
      </c>
      <c r="G30" s="53">
        <v>23.21</v>
      </c>
      <c r="H30" s="53">
        <v>22.81</v>
      </c>
      <c r="I30" s="53">
        <v>20.18</v>
      </c>
      <c r="J30" s="53">
        <v>19.149999999999999</v>
      </c>
      <c r="K30" s="53">
        <v>15.59</v>
      </c>
      <c r="L30" s="53">
        <v>14.64</v>
      </c>
      <c r="M30" s="53">
        <v>13.84</v>
      </c>
      <c r="N30" s="53">
        <v>14.98</v>
      </c>
      <c r="O30" s="53">
        <v>15.48</v>
      </c>
      <c r="P30" s="53">
        <v>15.25</v>
      </c>
      <c r="Q30" s="53">
        <v>15.23</v>
      </c>
      <c r="R30" s="53"/>
      <c r="S30" s="53">
        <v>28</v>
      </c>
      <c r="T30" s="53">
        <v>13</v>
      </c>
      <c r="V30">
        <v>322</v>
      </c>
      <c r="W30">
        <f t="shared" si="7"/>
        <v>5</v>
      </c>
      <c r="X30">
        <f t="shared" si="6"/>
        <v>1839.306</v>
      </c>
      <c r="Y30">
        <f t="shared" si="6"/>
        <v>1946.539</v>
      </c>
      <c r="Z30">
        <f t="shared" si="6"/>
        <v>2036.461</v>
      </c>
      <c r="AA30">
        <f t="shared" si="6"/>
        <v>2000.1790000000001</v>
      </c>
      <c r="AB30">
        <f t="shared" si="6"/>
        <v>2019.8880000000001</v>
      </c>
      <c r="AC30">
        <f t="shared" si="6"/>
        <v>1859.2450000000001</v>
      </c>
      <c r="AD30">
        <f t="shared" si="6"/>
        <v>2033.7089999999998</v>
      </c>
      <c r="AE30">
        <f t="shared" si="6"/>
        <v>2087.9460000000004</v>
      </c>
      <c r="AF30">
        <f t="shared" si="6"/>
        <v>2147.0419999999999</v>
      </c>
      <c r="AG30">
        <f t="shared" si="6"/>
        <v>2142.8770000000004</v>
      </c>
      <c r="AH30">
        <f t="shared" si="6"/>
        <v>2086.7080000000001</v>
      </c>
      <c r="AI30">
        <f t="shared" si="6"/>
        <v>2134.06</v>
      </c>
      <c r="AJ30">
        <f t="shared" si="6"/>
        <v>2024.623</v>
      </c>
      <c r="AK30">
        <f t="shared" si="6"/>
        <v>2211.1129999999998</v>
      </c>
      <c r="AL30">
        <f t="shared" si="6"/>
        <v>2279.723</v>
      </c>
      <c r="AM30">
        <f t="shared" si="5"/>
        <v>2212.8360000000002</v>
      </c>
      <c r="AN30">
        <f t="shared" si="5"/>
        <v>995.79000000000008</v>
      </c>
      <c r="AO30">
        <f t="shared" si="5"/>
        <v>1001.25</v>
      </c>
    </row>
    <row r="31" spans="1:49" x14ac:dyDescent="0.2">
      <c r="A31" s="54" t="s">
        <v>188</v>
      </c>
      <c r="B31" s="53">
        <v>40.21</v>
      </c>
      <c r="C31" s="53">
        <v>39.83</v>
      </c>
      <c r="D31" s="53">
        <v>43.97</v>
      </c>
      <c r="E31" s="53">
        <v>44.61</v>
      </c>
      <c r="F31" s="53">
        <v>39.630000000000003</v>
      </c>
      <c r="G31" s="53">
        <v>40.630000000000003</v>
      </c>
      <c r="H31" s="53">
        <v>39</v>
      </c>
      <c r="I31" s="53">
        <v>30.43</v>
      </c>
      <c r="J31" s="53">
        <v>29.22</v>
      </c>
      <c r="K31" s="53">
        <v>24.69</v>
      </c>
      <c r="L31" s="53">
        <v>23.86</v>
      </c>
      <c r="M31" s="53">
        <v>19.79</v>
      </c>
      <c r="N31" s="53">
        <v>20.63</v>
      </c>
      <c r="O31" s="53">
        <v>20.99</v>
      </c>
      <c r="P31" s="53">
        <v>21.03</v>
      </c>
      <c r="Q31" s="53">
        <v>21.2</v>
      </c>
      <c r="R31" s="53"/>
      <c r="S31" s="53">
        <v>29</v>
      </c>
      <c r="T31" s="53">
        <v>13</v>
      </c>
      <c r="V31">
        <v>323</v>
      </c>
      <c r="W31">
        <f t="shared" si="7"/>
        <v>6</v>
      </c>
      <c r="X31">
        <f t="shared" si="6"/>
        <v>60.798999999999999</v>
      </c>
      <c r="Y31">
        <f t="shared" si="6"/>
        <v>58.165999999999997</v>
      </c>
      <c r="Z31">
        <f t="shared" si="6"/>
        <v>56.883000000000003</v>
      </c>
      <c r="AA31">
        <f t="shared" si="6"/>
        <v>53.048000000000002</v>
      </c>
      <c r="AB31">
        <f t="shared" si="6"/>
        <v>43.956000000000003</v>
      </c>
      <c r="AC31">
        <f t="shared" si="6"/>
        <v>47.404000000000003</v>
      </c>
      <c r="AD31">
        <f t="shared" si="6"/>
        <v>38.405999999999999</v>
      </c>
      <c r="AE31">
        <f t="shared" si="6"/>
        <v>46.491999999999997</v>
      </c>
      <c r="AF31">
        <f t="shared" si="6"/>
        <v>46.761000000000003</v>
      </c>
      <c r="AG31">
        <f t="shared" si="6"/>
        <v>51.27</v>
      </c>
      <c r="AH31">
        <f t="shared" si="6"/>
        <v>49.938000000000002</v>
      </c>
      <c r="AI31">
        <f t="shared" si="6"/>
        <v>49.947000000000003</v>
      </c>
      <c r="AJ31">
        <f t="shared" si="6"/>
        <v>52.484999999999999</v>
      </c>
      <c r="AK31">
        <f t="shared" si="6"/>
        <v>55.146999999999998</v>
      </c>
      <c r="AL31">
        <f t="shared" si="6"/>
        <v>60.213000000000001</v>
      </c>
      <c r="AM31">
        <f t="shared" si="5"/>
        <v>51.106999999999999</v>
      </c>
      <c r="AN31">
        <f t="shared" si="5"/>
        <v>58.24</v>
      </c>
      <c r="AO31">
        <f t="shared" si="5"/>
        <v>66.930000000000007</v>
      </c>
    </row>
    <row r="32" spans="1:49" x14ac:dyDescent="0.2">
      <c r="A32" s="54" t="s">
        <v>189</v>
      </c>
      <c r="B32" s="53">
        <v>7.6310000000000002</v>
      </c>
      <c r="C32" s="53">
        <v>8.0690000000000008</v>
      </c>
      <c r="D32" s="53">
        <v>8.6590000000000007</v>
      </c>
      <c r="E32" s="53">
        <v>9.2059999999999995</v>
      </c>
      <c r="F32" s="53">
        <v>8.1560000000000006</v>
      </c>
      <c r="G32" s="53">
        <v>6.9580000000000002</v>
      </c>
      <c r="H32" s="53">
        <v>6.6769999999999996</v>
      </c>
      <c r="I32" s="53">
        <v>6.5039999999999996</v>
      </c>
      <c r="J32" s="53">
        <v>6.0919999999999996</v>
      </c>
      <c r="K32" s="53">
        <v>5.798</v>
      </c>
      <c r="L32" s="53">
        <v>6.5350000000000001</v>
      </c>
      <c r="M32" s="53">
        <v>5.8440000000000003</v>
      </c>
      <c r="N32" s="53">
        <v>5.86</v>
      </c>
      <c r="O32" s="53">
        <v>5.66</v>
      </c>
      <c r="P32" s="53">
        <v>5.2889999999999997</v>
      </c>
      <c r="Q32" s="53">
        <v>5.1059999999999999</v>
      </c>
      <c r="R32" s="53"/>
      <c r="S32" s="53">
        <v>30</v>
      </c>
      <c r="T32" s="53">
        <v>13</v>
      </c>
      <c r="V32">
        <v>324</v>
      </c>
      <c r="W32">
        <f t="shared" si="7"/>
        <v>7</v>
      </c>
      <c r="X32">
        <f t="shared" si="6"/>
        <v>2635.1559999999999</v>
      </c>
      <c r="Y32">
        <f t="shared" si="6"/>
        <v>2635.9049999999997</v>
      </c>
      <c r="Z32">
        <f t="shared" si="6"/>
        <v>2773.3790000000004</v>
      </c>
      <c r="AA32">
        <f t="shared" si="6"/>
        <v>2927.5309999999999</v>
      </c>
      <c r="AB32">
        <f t="shared" si="6"/>
        <v>2886.8559999999998</v>
      </c>
      <c r="AC32">
        <f t="shared" si="6"/>
        <v>2747.96</v>
      </c>
      <c r="AD32">
        <f t="shared" si="6"/>
        <v>2839.1610000000001</v>
      </c>
      <c r="AE32">
        <f t="shared" si="6"/>
        <v>2935.9290000000005</v>
      </c>
      <c r="AF32">
        <f t="shared" si="6"/>
        <v>2926.7709999999997</v>
      </c>
      <c r="AG32">
        <f t="shared" si="6"/>
        <v>2880.9909999999995</v>
      </c>
      <c r="AH32">
        <f t="shared" si="6"/>
        <v>2766.5080000000003</v>
      </c>
      <c r="AI32">
        <f t="shared" si="6"/>
        <v>2323.83</v>
      </c>
      <c r="AJ32">
        <f t="shared" si="6"/>
        <v>2303.2909999999997</v>
      </c>
      <c r="AK32">
        <f t="shared" si="6"/>
        <v>2329.6880000000001</v>
      </c>
      <c r="AL32">
        <f t="shared" si="6"/>
        <v>2352.5519999999997</v>
      </c>
      <c r="AM32">
        <f t="shared" si="5"/>
        <v>2377.5550000000003</v>
      </c>
      <c r="AN32">
        <f t="shared" si="5"/>
        <v>2140.75</v>
      </c>
      <c r="AO32">
        <f t="shared" si="5"/>
        <v>1701.73</v>
      </c>
    </row>
    <row r="33" spans="1:51" x14ac:dyDescent="0.2">
      <c r="A33" s="54" t="s">
        <v>190</v>
      </c>
      <c r="B33" s="53">
        <v>24.29</v>
      </c>
      <c r="C33" s="53">
        <v>23.55</v>
      </c>
      <c r="D33" s="53">
        <v>24.35</v>
      </c>
      <c r="E33" s="53">
        <v>22.48</v>
      </c>
      <c r="F33" s="53">
        <v>23.71</v>
      </c>
      <c r="G33" s="53">
        <v>19.690000000000001</v>
      </c>
      <c r="H33" s="53">
        <v>18.66</v>
      </c>
      <c r="I33" s="53">
        <v>18.07</v>
      </c>
      <c r="J33" s="53">
        <v>17.28</v>
      </c>
      <c r="K33" s="53">
        <v>15.11</v>
      </c>
      <c r="L33" s="53">
        <v>17.920000000000002</v>
      </c>
      <c r="M33" s="53">
        <v>18.89</v>
      </c>
      <c r="N33" s="53">
        <v>20.23</v>
      </c>
      <c r="O33" s="53">
        <v>22.21</v>
      </c>
      <c r="P33" s="53">
        <v>20.45</v>
      </c>
      <c r="Q33" s="53">
        <v>19.7</v>
      </c>
      <c r="R33" s="53"/>
      <c r="S33" s="53">
        <v>31</v>
      </c>
      <c r="T33" s="53">
        <v>13</v>
      </c>
      <c r="V33">
        <v>325</v>
      </c>
      <c r="W33">
        <f t="shared" si="7"/>
        <v>8</v>
      </c>
      <c r="X33">
        <f t="shared" si="6"/>
        <v>2110.4</v>
      </c>
      <c r="Y33">
        <f t="shared" si="6"/>
        <v>2174.7960000000003</v>
      </c>
      <c r="Z33">
        <f t="shared" si="6"/>
        <v>2188.2879999999996</v>
      </c>
      <c r="AA33">
        <f t="shared" si="6"/>
        <v>2223.35</v>
      </c>
      <c r="AB33">
        <f t="shared" si="6"/>
        <v>2532.9709999999995</v>
      </c>
      <c r="AC33">
        <f t="shared" si="6"/>
        <v>2246.998</v>
      </c>
      <c r="AD33">
        <f t="shared" si="6"/>
        <v>2381.0800000000004</v>
      </c>
      <c r="AE33">
        <f t="shared" si="6"/>
        <v>2323.116</v>
      </c>
      <c r="AF33">
        <f t="shared" si="6"/>
        <v>2225.5829999999996</v>
      </c>
      <c r="AG33">
        <f t="shared" si="6"/>
        <v>2242.2139999999999</v>
      </c>
      <c r="AH33">
        <f t="shared" si="6"/>
        <v>2108.2630000000004</v>
      </c>
      <c r="AI33">
        <f t="shared" si="6"/>
        <v>2047.1180000000002</v>
      </c>
      <c r="AJ33">
        <f t="shared" si="6"/>
        <v>1832.7389999999998</v>
      </c>
      <c r="AK33">
        <f t="shared" si="6"/>
        <v>1900.3729999999998</v>
      </c>
      <c r="AL33">
        <f t="shared" si="6"/>
        <v>1975.92</v>
      </c>
      <c r="AM33">
        <f t="shared" si="5"/>
        <v>1682.6429999999998</v>
      </c>
      <c r="AN33">
        <f t="shared" si="5"/>
        <v>1503.0700000000002</v>
      </c>
      <c r="AO33">
        <f t="shared" si="5"/>
        <v>1684.5700000000002</v>
      </c>
    </row>
    <row r="34" spans="1:51" x14ac:dyDescent="0.2">
      <c r="A34" s="54" t="s">
        <v>191</v>
      </c>
      <c r="B34" s="53">
        <v>16.059999999999999</v>
      </c>
      <c r="C34" s="53">
        <v>14.41</v>
      </c>
      <c r="D34" s="53">
        <v>14.91</v>
      </c>
      <c r="E34" s="53">
        <v>12.91</v>
      </c>
      <c r="F34" s="53">
        <v>12.04</v>
      </c>
      <c r="G34" s="53">
        <v>13.69</v>
      </c>
      <c r="H34" s="53">
        <v>15.87</v>
      </c>
      <c r="I34" s="53">
        <v>14.38</v>
      </c>
      <c r="J34" s="53">
        <v>15.42</v>
      </c>
      <c r="K34" s="53">
        <v>14.13</v>
      </c>
      <c r="L34" s="53">
        <v>17.010000000000002</v>
      </c>
      <c r="M34" s="53">
        <v>14.94</v>
      </c>
      <c r="N34" s="53">
        <v>15.64</v>
      </c>
      <c r="O34" s="53">
        <v>14.96</v>
      </c>
      <c r="P34" s="53">
        <v>13.75</v>
      </c>
      <c r="Q34" s="53">
        <v>15.78</v>
      </c>
      <c r="R34" s="53"/>
      <c r="S34" s="53">
        <v>32</v>
      </c>
      <c r="T34" s="53">
        <v>13</v>
      </c>
      <c r="V34">
        <v>326</v>
      </c>
      <c r="W34">
        <f t="shared" si="7"/>
        <v>9</v>
      </c>
      <c r="X34">
        <f t="shared" si="6"/>
        <v>153.815</v>
      </c>
      <c r="Y34">
        <f t="shared" si="6"/>
        <v>168.61500000000001</v>
      </c>
      <c r="Z34">
        <f t="shared" si="6"/>
        <v>202.60300000000001</v>
      </c>
      <c r="AA34">
        <f t="shared" si="6"/>
        <v>192.88800000000001</v>
      </c>
      <c r="AB34">
        <f t="shared" si="6"/>
        <v>177.321</v>
      </c>
      <c r="AC34">
        <f t="shared" si="6"/>
        <v>162.273</v>
      </c>
      <c r="AD34">
        <f t="shared" si="6"/>
        <v>166.16</v>
      </c>
      <c r="AE34">
        <f t="shared" si="6"/>
        <v>189.12100000000001</v>
      </c>
      <c r="AF34">
        <f t="shared" si="6"/>
        <v>177.24</v>
      </c>
      <c r="AG34">
        <f t="shared" si="6"/>
        <v>164.92099999999999</v>
      </c>
      <c r="AH34">
        <f t="shared" si="6"/>
        <v>143.93700000000001</v>
      </c>
      <c r="AI34">
        <f t="shared" si="6"/>
        <v>138.56399999999999</v>
      </c>
      <c r="AJ34">
        <f t="shared" si="6"/>
        <v>131.744</v>
      </c>
      <c r="AK34">
        <f t="shared" si="6"/>
        <v>139.148</v>
      </c>
      <c r="AL34">
        <f t="shared" si="6"/>
        <v>140.756</v>
      </c>
      <c r="AM34">
        <f t="shared" si="5"/>
        <v>124.17</v>
      </c>
      <c r="AN34">
        <f t="shared" si="5"/>
        <v>134.1</v>
      </c>
      <c r="AO34">
        <f t="shared" si="5"/>
        <v>153.9</v>
      </c>
    </row>
    <row r="35" spans="1:51" x14ac:dyDescent="0.2">
      <c r="A35" s="54" t="s">
        <v>192</v>
      </c>
      <c r="B35" s="53">
        <v>33.42</v>
      </c>
      <c r="C35" s="53">
        <v>35</v>
      </c>
      <c r="D35" s="53">
        <v>38.049999999999997</v>
      </c>
      <c r="E35" s="53">
        <v>36.770000000000003</v>
      </c>
      <c r="F35" s="53">
        <v>34.96</v>
      </c>
      <c r="G35" s="53">
        <v>33.130000000000003</v>
      </c>
      <c r="H35" s="53">
        <v>31.4</v>
      </c>
      <c r="I35" s="53">
        <v>30.8</v>
      </c>
      <c r="J35" s="53">
        <v>31.14</v>
      </c>
      <c r="K35" s="53">
        <v>23.89</v>
      </c>
      <c r="L35" s="53">
        <v>26.23</v>
      </c>
      <c r="M35" s="53">
        <v>25.29</v>
      </c>
      <c r="N35" s="53">
        <v>26.4</v>
      </c>
      <c r="O35" s="53">
        <v>25.28</v>
      </c>
      <c r="P35" s="53">
        <v>24.15</v>
      </c>
      <c r="Q35" s="53">
        <v>24.34</v>
      </c>
      <c r="R35" s="53"/>
      <c r="S35" s="53">
        <v>33</v>
      </c>
      <c r="T35" s="53">
        <v>13</v>
      </c>
      <c r="V35">
        <v>327</v>
      </c>
      <c r="W35">
        <f t="shared" si="7"/>
        <v>10</v>
      </c>
      <c r="X35">
        <f t="shared" si="6"/>
        <v>1130.8</v>
      </c>
      <c r="Y35">
        <f t="shared" si="6"/>
        <v>1183.4180000000001</v>
      </c>
      <c r="Z35">
        <f t="shared" si="6"/>
        <v>1223.6130000000001</v>
      </c>
      <c r="AA35">
        <f t="shared" si="6"/>
        <v>1173.731</v>
      </c>
      <c r="AB35">
        <f t="shared" si="6"/>
        <v>1180.029</v>
      </c>
      <c r="AC35">
        <f t="shared" si="6"/>
        <v>1047.886</v>
      </c>
      <c r="AD35">
        <f t="shared" si="6"/>
        <v>1094.931</v>
      </c>
      <c r="AE35">
        <f t="shared" si="6"/>
        <v>1121.758</v>
      </c>
      <c r="AF35">
        <f t="shared" si="6"/>
        <v>1135.1320000000001</v>
      </c>
      <c r="AG35">
        <f t="shared" si="6"/>
        <v>1123.7539999999999</v>
      </c>
      <c r="AH35">
        <f t="shared" si="6"/>
        <v>996.63300000000004</v>
      </c>
      <c r="AI35">
        <f t="shared" si="6"/>
        <v>950.66399999999999</v>
      </c>
      <c r="AJ35">
        <f t="shared" si="6"/>
        <v>794.495</v>
      </c>
      <c r="AK35">
        <f t="shared" si="6"/>
        <v>867.23099999999999</v>
      </c>
      <c r="AL35">
        <f t="shared" si="6"/>
        <v>877.29299999999989</v>
      </c>
      <c r="AM35">
        <f t="shared" si="5"/>
        <v>800.49400000000003</v>
      </c>
      <c r="AN35">
        <f t="shared" si="5"/>
        <v>821.19999999999993</v>
      </c>
      <c r="AO35">
        <f t="shared" si="5"/>
        <v>799</v>
      </c>
    </row>
    <row r="36" spans="1:51" x14ac:dyDescent="0.2">
      <c r="A36" s="54" t="s">
        <v>193</v>
      </c>
      <c r="B36" s="53">
        <v>16.79</v>
      </c>
      <c r="C36" s="53">
        <v>17.940000000000001</v>
      </c>
      <c r="D36" s="53">
        <v>17.59</v>
      </c>
      <c r="E36" s="53">
        <v>20.239999999999998</v>
      </c>
      <c r="F36" s="53">
        <v>18.68</v>
      </c>
      <c r="G36" s="53">
        <v>16.43</v>
      </c>
      <c r="H36" s="53">
        <v>16.170000000000002</v>
      </c>
      <c r="I36" s="53">
        <v>15.97</v>
      </c>
      <c r="J36" s="53">
        <v>17.989999999999998</v>
      </c>
      <c r="K36" s="53">
        <v>15.8</v>
      </c>
      <c r="L36" s="53">
        <v>18.41</v>
      </c>
      <c r="M36" s="53">
        <v>19.84</v>
      </c>
      <c r="N36" s="53">
        <v>19.86</v>
      </c>
      <c r="O36" s="53">
        <v>24.55</v>
      </c>
      <c r="P36" s="53">
        <v>22.27</v>
      </c>
      <c r="Q36" s="53">
        <v>22.85</v>
      </c>
      <c r="R36" s="53"/>
      <c r="S36" s="53">
        <v>34</v>
      </c>
      <c r="T36" s="53">
        <v>13</v>
      </c>
      <c r="V36">
        <v>331</v>
      </c>
      <c r="W36">
        <f t="shared" si="7"/>
        <v>11</v>
      </c>
      <c r="X36">
        <f t="shared" si="6"/>
        <v>3500.2030000000004</v>
      </c>
      <c r="Y36">
        <f t="shared" si="6"/>
        <v>3268.058</v>
      </c>
      <c r="Z36">
        <f t="shared" si="6"/>
        <v>3428.297</v>
      </c>
      <c r="AA36">
        <f t="shared" si="6"/>
        <v>3723.2270000000003</v>
      </c>
      <c r="AB36">
        <f t="shared" si="6"/>
        <v>3585.6839999999997</v>
      </c>
      <c r="AC36">
        <f t="shared" si="6"/>
        <v>3004.2560000000003</v>
      </c>
      <c r="AD36">
        <f t="shared" si="6"/>
        <v>3080.8889999999997</v>
      </c>
      <c r="AE36">
        <f t="shared" si="6"/>
        <v>3029.5459999999998</v>
      </c>
      <c r="AF36">
        <f t="shared" si="6"/>
        <v>3186.489</v>
      </c>
      <c r="AG36">
        <f t="shared" si="6"/>
        <v>3218.0230000000001</v>
      </c>
      <c r="AH36">
        <f t="shared" si="6"/>
        <v>2613.404</v>
      </c>
      <c r="AI36">
        <f t="shared" si="6"/>
        <v>2593.2039999999997</v>
      </c>
      <c r="AJ36">
        <f t="shared" si="6"/>
        <v>1756.1860000000001</v>
      </c>
      <c r="AK36">
        <f t="shared" si="6"/>
        <v>1930.2429999999999</v>
      </c>
      <c r="AL36">
        <f t="shared" si="6"/>
        <v>1930.7450000000001</v>
      </c>
      <c r="AM36">
        <f t="shared" si="5"/>
        <v>1749.29</v>
      </c>
      <c r="AN36">
        <f t="shared" si="5"/>
        <v>1638.36</v>
      </c>
      <c r="AO36">
        <f t="shared" si="5"/>
        <v>1537.6299999999999</v>
      </c>
    </row>
    <row r="37" spans="1:51" x14ac:dyDescent="0.2">
      <c r="A37" s="54" t="s">
        <v>194</v>
      </c>
      <c r="B37" s="53">
        <v>10.36</v>
      </c>
      <c r="C37" s="53">
        <v>9.7249999999999996</v>
      </c>
      <c r="D37" s="53">
        <v>10.95</v>
      </c>
      <c r="E37" s="53">
        <v>11.61</v>
      </c>
      <c r="F37" s="53">
        <v>11.28</v>
      </c>
      <c r="G37" s="53">
        <v>10.53</v>
      </c>
      <c r="H37" s="53">
        <v>11.86</v>
      </c>
      <c r="I37" s="53">
        <v>11.26</v>
      </c>
      <c r="J37" s="53">
        <v>11.83</v>
      </c>
      <c r="K37" s="53">
        <v>11.79</v>
      </c>
      <c r="L37" s="53">
        <v>11.77</v>
      </c>
      <c r="M37" s="53">
        <v>12.35</v>
      </c>
      <c r="N37" s="53">
        <v>12.49</v>
      </c>
      <c r="O37" s="53">
        <v>9.9969999999999999</v>
      </c>
      <c r="P37" s="53">
        <v>9.3339999999999996</v>
      </c>
      <c r="Q37" s="53">
        <v>8.5090000000000003</v>
      </c>
      <c r="R37" s="53"/>
      <c r="S37" s="53">
        <v>35</v>
      </c>
      <c r="T37" s="53">
        <v>14</v>
      </c>
      <c r="V37">
        <v>332</v>
      </c>
      <c r="W37">
        <f t="shared" si="7"/>
        <v>12</v>
      </c>
      <c r="X37">
        <f t="shared" si="6"/>
        <v>352.20100000000002</v>
      </c>
      <c r="Y37">
        <f t="shared" si="6"/>
        <v>338.04899999999998</v>
      </c>
      <c r="Z37">
        <f t="shared" si="6"/>
        <v>351.06400000000002</v>
      </c>
      <c r="AA37">
        <f t="shared" si="6"/>
        <v>332.52699999999999</v>
      </c>
      <c r="AB37">
        <f t="shared" si="6"/>
        <v>299.91999999999996</v>
      </c>
      <c r="AC37">
        <f t="shared" si="6"/>
        <v>281.43400000000003</v>
      </c>
      <c r="AD37">
        <f t="shared" si="6"/>
        <v>283.89699999999999</v>
      </c>
      <c r="AE37">
        <f t="shared" si="6"/>
        <v>283.64800000000002</v>
      </c>
      <c r="AF37">
        <f t="shared" si="6"/>
        <v>293.44200000000001</v>
      </c>
      <c r="AG37">
        <f t="shared" si="6"/>
        <v>283.54999999999995</v>
      </c>
      <c r="AH37">
        <f t="shared" si="6"/>
        <v>263.34000000000003</v>
      </c>
      <c r="AI37">
        <f t="shared" si="6"/>
        <v>253.678</v>
      </c>
      <c r="AJ37">
        <f t="shared" si="6"/>
        <v>250.36500000000001</v>
      </c>
      <c r="AK37">
        <f t="shared" si="6"/>
        <v>250.6</v>
      </c>
      <c r="AL37">
        <f t="shared" si="6"/>
        <v>250.17000000000002</v>
      </c>
      <c r="AM37">
        <f t="shared" si="5"/>
        <v>217.94100000000003</v>
      </c>
      <c r="AN37">
        <f t="shared" si="5"/>
        <v>236.85100000000003</v>
      </c>
      <c r="AO37">
        <f t="shared" si="5"/>
        <v>276.36599999999999</v>
      </c>
    </row>
    <row r="38" spans="1:51" x14ac:dyDescent="0.2">
      <c r="A38" s="54" t="s">
        <v>195</v>
      </c>
      <c r="B38" s="53">
        <v>25.68</v>
      </c>
      <c r="C38" s="53">
        <v>25.18</v>
      </c>
      <c r="D38" s="53">
        <v>26.28</v>
      </c>
      <c r="E38" s="53">
        <v>22.99</v>
      </c>
      <c r="F38" s="53">
        <v>21.35</v>
      </c>
      <c r="G38" s="53">
        <v>20.07</v>
      </c>
      <c r="H38" s="53">
        <v>18.66</v>
      </c>
      <c r="I38" s="53">
        <v>20.16</v>
      </c>
      <c r="J38" s="53">
        <v>19.670000000000002</v>
      </c>
      <c r="K38" s="53">
        <v>17.16</v>
      </c>
      <c r="L38" s="53">
        <v>19.36</v>
      </c>
      <c r="M38" s="53">
        <v>17.61</v>
      </c>
      <c r="N38" s="53">
        <v>18.34</v>
      </c>
      <c r="O38" s="53">
        <v>21.09</v>
      </c>
      <c r="P38" s="53">
        <v>17.55</v>
      </c>
      <c r="Q38" s="53">
        <v>17.54</v>
      </c>
      <c r="R38" s="53"/>
      <c r="S38" s="53">
        <v>36</v>
      </c>
      <c r="T38" s="53">
        <v>13</v>
      </c>
      <c r="V38">
        <v>333</v>
      </c>
      <c r="W38">
        <f t="shared" si="7"/>
        <v>13</v>
      </c>
      <c r="X38">
        <f t="shared" si="6"/>
        <v>283.69899999999996</v>
      </c>
      <c r="Y38">
        <f t="shared" si="6"/>
        <v>289.54200000000003</v>
      </c>
      <c r="Z38">
        <f t="shared" si="6"/>
        <v>301.60399999999993</v>
      </c>
      <c r="AA38">
        <f t="shared" si="6"/>
        <v>291.31099999999998</v>
      </c>
      <c r="AB38">
        <f t="shared" si="6"/>
        <v>276.55500000000001</v>
      </c>
      <c r="AC38">
        <f t="shared" si="6"/>
        <v>253.18</v>
      </c>
      <c r="AD38">
        <f t="shared" si="6"/>
        <v>248.88</v>
      </c>
      <c r="AE38">
        <f t="shared" si="6"/>
        <v>247.09899999999999</v>
      </c>
      <c r="AF38">
        <f t="shared" si="6"/>
        <v>255.14699999999999</v>
      </c>
      <c r="AG38">
        <f t="shared" si="6"/>
        <v>258.47400000000005</v>
      </c>
      <c r="AH38">
        <f t="shared" si="6"/>
        <v>243.15600000000001</v>
      </c>
      <c r="AI38">
        <f t="shared" si="6"/>
        <v>228.27199999999999</v>
      </c>
      <c r="AJ38">
        <f t="shared" si="6"/>
        <v>223.73099999999999</v>
      </c>
      <c r="AK38">
        <f t="shared" si="6"/>
        <v>215.297</v>
      </c>
      <c r="AL38">
        <f t="shared" si="6"/>
        <v>213.18100000000004</v>
      </c>
      <c r="AM38">
        <f t="shared" si="5"/>
        <v>182.15299999999999</v>
      </c>
      <c r="AN38">
        <f t="shared" si="5"/>
        <v>195.41500000000002</v>
      </c>
      <c r="AO38">
        <f t="shared" si="5"/>
        <v>190.36399999999998</v>
      </c>
    </row>
    <row r="39" spans="1:51" x14ac:dyDescent="0.2">
      <c r="A39" s="54" t="s">
        <v>196</v>
      </c>
      <c r="B39" s="53">
        <v>35.79</v>
      </c>
      <c r="C39" s="53">
        <v>34.4</v>
      </c>
      <c r="D39" s="53">
        <v>36.479999999999997</v>
      </c>
      <c r="E39" s="53">
        <v>37.33</v>
      </c>
      <c r="F39" s="53">
        <v>35.43</v>
      </c>
      <c r="G39" s="53">
        <v>33.950000000000003</v>
      </c>
      <c r="H39" s="53">
        <v>30.67</v>
      </c>
      <c r="I39" s="53">
        <v>30.03</v>
      </c>
      <c r="J39" s="53">
        <v>29.97</v>
      </c>
      <c r="K39" s="53">
        <v>25.2</v>
      </c>
      <c r="L39" s="53">
        <v>26.86</v>
      </c>
      <c r="M39" s="53">
        <v>25.5</v>
      </c>
      <c r="N39" s="53">
        <v>25.14</v>
      </c>
      <c r="O39" s="53">
        <v>24.5</v>
      </c>
      <c r="P39" s="53">
        <v>22.91</v>
      </c>
      <c r="Q39" s="53">
        <v>23.53</v>
      </c>
      <c r="R39" s="53"/>
      <c r="S39" s="53">
        <v>37</v>
      </c>
      <c r="T39" s="53">
        <v>15</v>
      </c>
      <c r="V39">
        <v>334</v>
      </c>
      <c r="W39">
        <f t="shared" si="7"/>
        <v>14</v>
      </c>
      <c r="X39">
        <f t="shared" si="6"/>
        <v>102.867</v>
      </c>
      <c r="Y39">
        <f t="shared" si="6"/>
        <v>104.08199999999999</v>
      </c>
      <c r="Z39">
        <f t="shared" si="6"/>
        <v>102.52799999999999</v>
      </c>
      <c r="AA39">
        <f t="shared" si="6"/>
        <v>89.157000000000011</v>
      </c>
      <c r="AB39">
        <f t="shared" si="6"/>
        <v>75.045999999999992</v>
      </c>
      <c r="AC39">
        <f t="shared" si="6"/>
        <v>75.716000000000008</v>
      </c>
      <c r="AD39">
        <f t="shared" si="6"/>
        <v>75.249000000000009</v>
      </c>
      <c r="AE39">
        <f t="shared" si="6"/>
        <v>77.572000000000003</v>
      </c>
      <c r="AF39">
        <f t="shared" si="6"/>
        <v>83.158999999999992</v>
      </c>
      <c r="AG39">
        <f t="shared" si="6"/>
        <v>78.078000000000003</v>
      </c>
      <c r="AH39">
        <f t="shared" si="6"/>
        <v>77.676999999999992</v>
      </c>
      <c r="AI39">
        <f t="shared" si="6"/>
        <v>74.290000000000006</v>
      </c>
      <c r="AJ39">
        <f t="shared" si="6"/>
        <v>82.95</v>
      </c>
      <c r="AK39">
        <f t="shared" si="6"/>
        <v>84.315000000000012</v>
      </c>
      <c r="AL39">
        <f t="shared" si="6"/>
        <v>85.218000000000004</v>
      </c>
      <c r="AM39">
        <f t="shared" si="5"/>
        <v>82.200999999999993</v>
      </c>
      <c r="AN39">
        <f t="shared" si="5"/>
        <v>84.2</v>
      </c>
      <c r="AO39">
        <f t="shared" si="5"/>
        <v>82.79</v>
      </c>
    </row>
    <row r="40" spans="1:51" x14ac:dyDescent="0.2">
      <c r="A40" s="54" t="s">
        <v>197</v>
      </c>
      <c r="B40" s="53">
        <v>28.21</v>
      </c>
      <c r="C40" s="53">
        <v>28.35</v>
      </c>
      <c r="D40" s="53">
        <v>27.84</v>
      </c>
      <c r="E40" s="53">
        <v>28.54</v>
      </c>
      <c r="F40" s="53">
        <v>25.13</v>
      </c>
      <c r="G40" s="53">
        <v>23.73</v>
      </c>
      <c r="H40" s="53">
        <v>22.49</v>
      </c>
      <c r="I40" s="53">
        <v>24.24</v>
      </c>
      <c r="J40" s="53">
        <v>22.27</v>
      </c>
      <c r="K40" s="53">
        <v>19.62</v>
      </c>
      <c r="L40" s="53">
        <v>20.49</v>
      </c>
      <c r="M40" s="53">
        <v>17.39</v>
      </c>
      <c r="N40" s="53">
        <v>16.850000000000001</v>
      </c>
      <c r="O40" s="53">
        <v>17.71</v>
      </c>
      <c r="P40" s="53">
        <v>16.09</v>
      </c>
      <c r="Q40" s="53">
        <v>14.84</v>
      </c>
      <c r="R40" s="53"/>
      <c r="S40" s="53">
        <v>38</v>
      </c>
      <c r="T40" s="53">
        <v>15</v>
      </c>
      <c r="V40">
        <v>335</v>
      </c>
      <c r="W40">
        <f t="shared" si="7"/>
        <v>15</v>
      </c>
      <c r="X40">
        <f t="shared" si="6"/>
        <v>118.36</v>
      </c>
      <c r="Y40">
        <f t="shared" si="6"/>
        <v>117.557</v>
      </c>
      <c r="Z40">
        <f t="shared" si="6"/>
        <v>123.46999999999998</v>
      </c>
      <c r="AA40">
        <f t="shared" si="6"/>
        <v>120.851</v>
      </c>
      <c r="AB40">
        <f t="shared" si="6"/>
        <v>107.24499999999999</v>
      </c>
      <c r="AC40">
        <f t="shared" si="6"/>
        <v>92.859000000000009</v>
      </c>
      <c r="AD40">
        <f t="shared" si="6"/>
        <v>98.213000000000008</v>
      </c>
      <c r="AE40">
        <f t="shared" si="6"/>
        <v>99.253</v>
      </c>
      <c r="AF40">
        <f t="shared" si="6"/>
        <v>101.03100000000001</v>
      </c>
      <c r="AG40">
        <f t="shared" si="6"/>
        <v>101.43899999999999</v>
      </c>
      <c r="AH40">
        <f t="shared" si="6"/>
        <v>92.129000000000005</v>
      </c>
      <c r="AI40">
        <f t="shared" si="6"/>
        <v>87.584000000000003</v>
      </c>
      <c r="AJ40">
        <f t="shared" si="6"/>
        <v>83.053000000000011</v>
      </c>
      <c r="AK40">
        <f t="shared" si="6"/>
        <v>87.067000000000007</v>
      </c>
      <c r="AL40">
        <f t="shared" si="6"/>
        <v>84.655999999999992</v>
      </c>
      <c r="AM40">
        <f t="shared" si="5"/>
        <v>74.387</v>
      </c>
      <c r="AN40">
        <f t="shared" si="5"/>
        <v>81.389999999999986</v>
      </c>
      <c r="AO40">
        <f t="shared" si="5"/>
        <v>81.5</v>
      </c>
      <c r="AW40">
        <v>1985</v>
      </c>
      <c r="AX40">
        <v>1986</v>
      </c>
      <c r="AY40">
        <v>1987</v>
      </c>
    </row>
    <row r="41" spans="1:51" x14ac:dyDescent="0.2">
      <c r="A41" s="54" t="s">
        <v>198</v>
      </c>
      <c r="B41" s="53">
        <v>18.84</v>
      </c>
      <c r="C41" s="53">
        <v>19.38</v>
      </c>
      <c r="D41" s="53">
        <v>20.16</v>
      </c>
      <c r="E41" s="53">
        <v>19.149999999999999</v>
      </c>
      <c r="F41" s="53">
        <v>17.670000000000002</v>
      </c>
      <c r="G41" s="53">
        <v>17.32</v>
      </c>
      <c r="H41" s="53">
        <v>17.149999999999999</v>
      </c>
      <c r="I41" s="53">
        <v>19.149999999999999</v>
      </c>
      <c r="J41" s="53">
        <v>18.36</v>
      </c>
      <c r="K41" s="53">
        <v>17.38</v>
      </c>
      <c r="L41" s="53">
        <v>21.08</v>
      </c>
      <c r="M41" s="53">
        <v>24.04</v>
      </c>
      <c r="N41" s="53">
        <v>18.93</v>
      </c>
      <c r="O41" s="53">
        <v>17.920000000000002</v>
      </c>
      <c r="P41" s="53">
        <v>17.39</v>
      </c>
      <c r="Q41" s="53">
        <v>17.010000000000002</v>
      </c>
      <c r="R41" s="53"/>
      <c r="S41" s="53">
        <v>39</v>
      </c>
      <c r="T41" s="53">
        <v>15</v>
      </c>
      <c r="V41">
        <v>336</v>
      </c>
      <c r="W41">
        <f t="shared" si="7"/>
        <v>16</v>
      </c>
      <c r="X41">
        <f t="shared" si="6"/>
        <v>266.45600000000002</v>
      </c>
      <c r="Y41">
        <f t="shared" si="6"/>
        <v>279.03300000000002</v>
      </c>
      <c r="Z41">
        <f t="shared" si="6"/>
        <v>285.73</v>
      </c>
      <c r="AA41">
        <f t="shared" si="6"/>
        <v>267.85900000000004</v>
      </c>
      <c r="AB41">
        <f t="shared" si="6"/>
        <v>254.50400000000002</v>
      </c>
      <c r="AC41">
        <f t="shared" si="6"/>
        <v>239.07300000000001</v>
      </c>
      <c r="AD41">
        <f t="shared" si="6"/>
        <v>262.28500000000003</v>
      </c>
      <c r="AE41">
        <f t="shared" si="6"/>
        <v>260.81200000000001</v>
      </c>
      <c r="AF41">
        <f t="shared" si="6"/>
        <v>269.23400000000004</v>
      </c>
      <c r="AG41">
        <f t="shared" si="6"/>
        <v>254.19799999999998</v>
      </c>
      <c r="AH41">
        <f t="shared" si="6"/>
        <v>221.88100000000003</v>
      </c>
      <c r="AI41">
        <f t="shared" si="6"/>
        <v>209.71600000000001</v>
      </c>
      <c r="AJ41">
        <f t="shared" si="6"/>
        <v>193.49799999999999</v>
      </c>
      <c r="AK41">
        <f t="shared" si="6"/>
        <v>216.91</v>
      </c>
      <c r="AL41">
        <f t="shared" si="6"/>
        <v>215.756</v>
      </c>
      <c r="AM41">
        <f t="shared" si="5"/>
        <v>197.72199999999998</v>
      </c>
      <c r="AN41">
        <f t="shared" si="5"/>
        <v>208.619</v>
      </c>
      <c r="AO41">
        <f t="shared" si="5"/>
        <v>207.78199999999998</v>
      </c>
      <c r="AS41" t="s">
        <v>26</v>
      </c>
      <c r="AW41">
        <v>34536.5</v>
      </c>
      <c r="AX41">
        <v>35831.1</v>
      </c>
      <c r="AY41">
        <v>38291.1</v>
      </c>
    </row>
    <row r="42" spans="1:51" x14ac:dyDescent="0.2">
      <c r="A42" s="54" t="s">
        <v>199</v>
      </c>
      <c r="B42" s="53">
        <v>26.91</v>
      </c>
      <c r="C42" s="53">
        <v>28.87</v>
      </c>
      <c r="D42" s="53">
        <v>29.3</v>
      </c>
      <c r="E42" s="53">
        <v>26.76</v>
      </c>
      <c r="F42" s="53">
        <v>25.84</v>
      </c>
      <c r="G42" s="53">
        <v>24.4</v>
      </c>
      <c r="H42" s="53">
        <v>26.71</v>
      </c>
      <c r="I42" s="53">
        <v>26.95</v>
      </c>
      <c r="J42" s="53">
        <v>25.96</v>
      </c>
      <c r="K42" s="53">
        <v>22.61</v>
      </c>
      <c r="L42" s="53">
        <v>23.77</v>
      </c>
      <c r="M42" s="53">
        <v>10.71</v>
      </c>
      <c r="N42" s="53">
        <v>9.59</v>
      </c>
      <c r="O42" s="53">
        <v>10.77</v>
      </c>
      <c r="P42" s="53">
        <v>11.06</v>
      </c>
      <c r="Q42" s="53">
        <v>11.1</v>
      </c>
      <c r="R42" s="53"/>
      <c r="S42" s="53">
        <v>40</v>
      </c>
      <c r="T42" s="53">
        <v>14</v>
      </c>
      <c r="V42">
        <v>337</v>
      </c>
      <c r="W42">
        <f t="shared" si="7"/>
        <v>17</v>
      </c>
      <c r="X42">
        <f t="shared" si="6"/>
        <v>36.542000000000002</v>
      </c>
      <c r="Y42">
        <f t="shared" si="6"/>
        <v>40.512</v>
      </c>
      <c r="Z42">
        <f t="shared" si="6"/>
        <v>45.897999999999996</v>
      </c>
      <c r="AA42">
        <f t="shared" si="6"/>
        <v>38.832000000000001</v>
      </c>
      <c r="AB42">
        <f t="shared" si="6"/>
        <v>40.097999999999999</v>
      </c>
      <c r="AC42">
        <f t="shared" si="6"/>
        <v>33.162999999999997</v>
      </c>
      <c r="AD42">
        <f t="shared" si="6"/>
        <v>32.265000000000001</v>
      </c>
      <c r="AE42">
        <f t="shared" si="6"/>
        <v>35.975000000000001</v>
      </c>
      <c r="AF42">
        <f t="shared" si="6"/>
        <v>37.741</v>
      </c>
      <c r="AG42">
        <f t="shared" si="6"/>
        <v>35.497999999999998</v>
      </c>
      <c r="AH42">
        <f t="shared" si="6"/>
        <v>32.052999999999997</v>
      </c>
      <c r="AI42">
        <f t="shared" si="6"/>
        <v>29.422000000000001</v>
      </c>
      <c r="AJ42">
        <f t="shared" si="6"/>
        <v>27.563000000000002</v>
      </c>
      <c r="AK42">
        <f t="shared" si="6"/>
        <v>28.326000000000001</v>
      </c>
      <c r="AL42">
        <f t="shared" si="6"/>
        <v>29.992999999999999</v>
      </c>
      <c r="AM42">
        <f t="shared" si="5"/>
        <v>28.048999999999999</v>
      </c>
      <c r="AN42">
        <f t="shared" si="5"/>
        <v>31.92</v>
      </c>
      <c r="AO42">
        <f t="shared" si="5"/>
        <v>34.92</v>
      </c>
    </row>
    <row r="43" spans="1:51" x14ac:dyDescent="0.2">
      <c r="A43" s="54" t="s">
        <v>200</v>
      </c>
      <c r="B43" s="53">
        <v>20.85</v>
      </c>
      <c r="C43" s="53">
        <v>21.21</v>
      </c>
      <c r="D43" s="53">
        <v>24.54</v>
      </c>
      <c r="E43" s="53">
        <v>22.1</v>
      </c>
      <c r="F43" s="53">
        <v>23.41</v>
      </c>
      <c r="G43" s="53">
        <v>22.57</v>
      </c>
      <c r="H43" s="53">
        <v>27.13</v>
      </c>
      <c r="I43" s="53">
        <v>27.84</v>
      </c>
      <c r="J43" s="53">
        <v>28.53</v>
      </c>
      <c r="K43" s="53">
        <v>30.23</v>
      </c>
      <c r="L43" s="53">
        <v>29.49</v>
      </c>
      <c r="M43" s="53">
        <v>31.34</v>
      </c>
      <c r="N43" s="53">
        <v>30.87</v>
      </c>
      <c r="O43" s="53">
        <v>34.340000000000003</v>
      </c>
      <c r="P43" s="53">
        <v>33.01</v>
      </c>
      <c r="Q43" s="53">
        <v>33.880000000000003</v>
      </c>
      <c r="R43" s="53"/>
      <c r="S43" s="53">
        <v>41</v>
      </c>
      <c r="T43" s="53">
        <v>14</v>
      </c>
      <c r="V43">
        <v>339</v>
      </c>
      <c r="W43">
        <f t="shared" si="7"/>
        <v>18</v>
      </c>
      <c r="X43">
        <f t="shared" ref="X43:AL43" si="8">X20</f>
        <v>39.082000000000001</v>
      </c>
      <c r="Y43">
        <f t="shared" si="8"/>
        <v>41.152999999999999</v>
      </c>
      <c r="Z43">
        <f t="shared" si="8"/>
        <v>46.9</v>
      </c>
      <c r="AA43">
        <f t="shared" si="8"/>
        <v>40.066000000000003</v>
      </c>
      <c r="AB43">
        <f t="shared" si="8"/>
        <v>35.384999999999998</v>
      </c>
      <c r="AC43">
        <f t="shared" si="8"/>
        <v>32.04</v>
      </c>
      <c r="AD43">
        <f t="shared" si="8"/>
        <v>31.736999999999998</v>
      </c>
      <c r="AE43">
        <f t="shared" si="8"/>
        <v>30.712</v>
      </c>
      <c r="AF43">
        <f t="shared" si="8"/>
        <v>32.173000000000002</v>
      </c>
      <c r="AG43">
        <f t="shared" si="8"/>
        <v>30.937000000000001</v>
      </c>
      <c r="AH43">
        <f t="shared" si="8"/>
        <v>29.077999999999999</v>
      </c>
      <c r="AI43">
        <f t="shared" si="8"/>
        <v>26.722000000000001</v>
      </c>
      <c r="AJ43">
        <f t="shared" si="8"/>
        <v>22.975999999999999</v>
      </c>
      <c r="AK43">
        <f t="shared" si="8"/>
        <v>24.809000000000001</v>
      </c>
      <c r="AL43">
        <f t="shared" si="8"/>
        <v>24.38</v>
      </c>
      <c r="AM43">
        <f t="shared" si="5"/>
        <v>20.68</v>
      </c>
      <c r="AN43">
        <f t="shared" si="5"/>
        <v>23.64</v>
      </c>
      <c r="AO43">
        <f t="shared" si="5"/>
        <v>26.88</v>
      </c>
    </row>
    <row r="44" spans="1:51" x14ac:dyDescent="0.2">
      <c r="A44" s="54" t="s">
        <v>201</v>
      </c>
      <c r="B44" s="53">
        <v>15.39</v>
      </c>
      <c r="C44" s="53">
        <v>17.12</v>
      </c>
      <c r="D44" s="53">
        <v>16.55</v>
      </c>
      <c r="E44" s="53">
        <v>16.41</v>
      </c>
      <c r="F44" s="53">
        <v>13.9</v>
      </c>
      <c r="G44" s="53">
        <v>12.58</v>
      </c>
      <c r="H44" s="53">
        <v>12.74</v>
      </c>
      <c r="I44" s="53">
        <v>13.65</v>
      </c>
      <c r="J44" s="53">
        <v>14.05</v>
      </c>
      <c r="K44" s="53">
        <v>12.19</v>
      </c>
      <c r="L44" s="53">
        <v>12.96</v>
      </c>
      <c r="M44" s="53">
        <v>14.57</v>
      </c>
      <c r="N44" s="53">
        <v>14.51</v>
      </c>
      <c r="O44" s="53">
        <v>14.26</v>
      </c>
      <c r="P44" s="53">
        <v>13.02</v>
      </c>
      <c r="Q44" s="53">
        <v>13.63</v>
      </c>
      <c r="R44" s="53"/>
      <c r="S44" s="53">
        <v>42</v>
      </c>
      <c r="T44" s="53">
        <v>15</v>
      </c>
    </row>
    <row r="45" spans="1:51" x14ac:dyDescent="0.2">
      <c r="A45" s="54" t="s">
        <v>202</v>
      </c>
      <c r="B45" s="53">
        <v>185.6</v>
      </c>
      <c r="C45" s="53">
        <v>183.6</v>
      </c>
      <c r="D45" s="53">
        <v>188</v>
      </c>
      <c r="E45" s="53">
        <v>175.8</v>
      </c>
      <c r="F45" s="53">
        <v>143.69999999999999</v>
      </c>
      <c r="G45" s="53">
        <v>135.1</v>
      </c>
      <c r="H45" s="53">
        <v>123.1</v>
      </c>
      <c r="I45" s="53">
        <v>141.5</v>
      </c>
      <c r="J45" s="53">
        <v>148.4</v>
      </c>
      <c r="K45" s="53">
        <v>135.9</v>
      </c>
      <c r="L45" s="53">
        <v>142.4</v>
      </c>
      <c r="M45" s="53">
        <v>141.6</v>
      </c>
      <c r="N45" s="53">
        <v>147.9</v>
      </c>
      <c r="O45" s="53">
        <v>143.4</v>
      </c>
      <c r="P45" s="53">
        <v>129.5</v>
      </c>
      <c r="Q45" s="53">
        <v>131.1</v>
      </c>
      <c r="R45" s="53"/>
      <c r="S45" s="53">
        <v>43</v>
      </c>
      <c r="T45" s="53">
        <v>16</v>
      </c>
      <c r="X45" s="57">
        <f>SUM(X32:X36)+SUM(X26:X28)+X30</f>
        <v>12572.588</v>
      </c>
      <c r="Y45" s="57">
        <f t="shared" ref="Y45:AD45" si="9">SUM(Y32:Y36)+SUM(Y26:Y28)+Y30</f>
        <v>12607.430000000002</v>
      </c>
      <c r="Z45" s="57">
        <f t="shared" si="9"/>
        <v>13074.674999999999</v>
      </c>
      <c r="AA45" s="57">
        <f t="shared" si="9"/>
        <v>13405.790999999999</v>
      </c>
      <c r="AB45" s="57">
        <f t="shared" si="9"/>
        <v>13434.847</v>
      </c>
      <c r="AC45" s="57">
        <f t="shared" si="9"/>
        <v>12121.116</v>
      </c>
      <c r="AD45" s="57">
        <f t="shared" si="9"/>
        <v>12662.231</v>
      </c>
      <c r="AE45">
        <f>SUM(AE26:AE44)</f>
        <v>14304.421</v>
      </c>
      <c r="AM45" s="5">
        <f>SUM(AM26:AM43)</f>
        <v>11174.793000000001</v>
      </c>
      <c r="AN45" s="5">
        <f>SUM(AN26:AN43)</f>
        <v>9203.9930000000022</v>
      </c>
      <c r="AO45" s="5">
        <f>SUM(AO26:AO43)</f>
        <v>8878.1189999999988</v>
      </c>
    </row>
    <row r="46" spans="1:51" x14ac:dyDescent="0.2">
      <c r="A46" s="54" t="s">
        <v>203</v>
      </c>
      <c r="B46" s="53">
        <v>4.1749999999999998</v>
      </c>
      <c r="C46" s="53">
        <v>3.2010000000000001</v>
      </c>
      <c r="D46" s="53">
        <v>3.3359999999999999</v>
      </c>
      <c r="E46" s="53">
        <v>2.6789999999999998</v>
      </c>
      <c r="F46" s="53">
        <v>2.4990000000000001</v>
      </c>
      <c r="G46" s="53">
        <v>2.149</v>
      </c>
      <c r="H46" s="53">
        <v>1.946</v>
      </c>
      <c r="I46" s="53">
        <v>3.0539999999999998</v>
      </c>
      <c r="J46" s="53">
        <v>2.4950000000000001</v>
      </c>
      <c r="K46" s="53">
        <v>3.6560000000000001</v>
      </c>
      <c r="L46" s="53">
        <v>3.8889999999999998</v>
      </c>
      <c r="M46" s="53">
        <v>4.4219999999999997</v>
      </c>
      <c r="N46" s="53">
        <v>4.5060000000000002</v>
      </c>
      <c r="O46" s="53">
        <v>4.6319999999999997</v>
      </c>
      <c r="P46" s="53">
        <v>4.625</v>
      </c>
      <c r="Q46" s="53">
        <v>5.4889999999999999</v>
      </c>
      <c r="R46" s="53"/>
      <c r="S46" s="53">
        <v>44</v>
      </c>
      <c r="T46" s="53">
        <v>16</v>
      </c>
      <c r="X46" s="57">
        <f>SUM(X26:X43)-X45-X31</f>
        <v>1636.4410000000016</v>
      </c>
      <c r="Y46" s="57">
        <f t="shared" ref="Y46:AD46" si="10">SUM(Y26:Y43)-Y45-Y31</f>
        <v>1638.929999999996</v>
      </c>
      <c r="Z46" s="57">
        <f t="shared" si="10"/>
        <v>1707.0479999999986</v>
      </c>
      <c r="AA46" s="57">
        <f t="shared" si="10"/>
        <v>1644.0250000000021</v>
      </c>
      <c r="AB46" s="57">
        <f t="shared" si="10"/>
        <v>1531.959000000001</v>
      </c>
      <c r="AC46" s="57">
        <f t="shared" si="10"/>
        <v>1422.5150000000017</v>
      </c>
      <c r="AD46" s="57">
        <f t="shared" si="10"/>
        <v>1480.9969999999985</v>
      </c>
      <c r="AM46">
        <f>AM45/3.412*1000</f>
        <v>3275144.4900351702</v>
      </c>
      <c r="AN46">
        <f>AN45/3.412*1000</f>
        <v>2697536.0492379842</v>
      </c>
      <c r="AO46">
        <f>AO45/3.412*1000</f>
        <v>2602027.8429073854</v>
      </c>
    </row>
    <row r="47" spans="1:51" x14ac:dyDescent="0.2">
      <c r="A47" s="54" t="s">
        <v>204</v>
      </c>
      <c r="B47" s="53">
        <v>43.6</v>
      </c>
      <c r="C47" s="53">
        <v>42.49</v>
      </c>
      <c r="D47" s="53">
        <v>43.43</v>
      </c>
      <c r="E47" s="53">
        <v>43.29</v>
      </c>
      <c r="F47" s="53">
        <v>43.7</v>
      </c>
      <c r="G47" s="53">
        <v>42.22</v>
      </c>
      <c r="H47" s="53">
        <v>44.66</v>
      </c>
      <c r="I47" s="53">
        <v>49.12</v>
      </c>
      <c r="J47" s="53">
        <v>44.74</v>
      </c>
      <c r="K47" s="53">
        <v>39.22</v>
      </c>
      <c r="L47" s="53">
        <v>41.61</v>
      </c>
      <c r="M47" s="53">
        <v>42.5</v>
      </c>
      <c r="N47" s="53">
        <v>44.25</v>
      </c>
      <c r="O47" s="53">
        <v>43.21</v>
      </c>
      <c r="P47" s="53">
        <v>41.39</v>
      </c>
      <c r="Q47" s="53">
        <v>42.88</v>
      </c>
      <c r="R47" s="53"/>
      <c r="S47" s="53">
        <v>45</v>
      </c>
      <c r="T47" s="53">
        <v>16</v>
      </c>
      <c r="V47" s="52" t="s">
        <v>254</v>
      </c>
      <c r="X47" s="57">
        <f>SUM(X45:X46)</f>
        <v>14209.029000000002</v>
      </c>
      <c r="Y47" s="57">
        <f t="shared" ref="Y47:AD47" si="11">SUM(Y45:Y46)</f>
        <v>14246.359999999999</v>
      </c>
      <c r="Z47" s="57">
        <f t="shared" si="11"/>
        <v>14781.722999999998</v>
      </c>
      <c r="AA47" s="57">
        <f t="shared" si="11"/>
        <v>15049.816000000001</v>
      </c>
      <c r="AB47" s="57">
        <f t="shared" si="11"/>
        <v>14966.806</v>
      </c>
      <c r="AC47" s="57">
        <f t="shared" si="11"/>
        <v>13543.631000000001</v>
      </c>
      <c r="AD47" s="57">
        <f t="shared" si="11"/>
        <v>14143.227999999999</v>
      </c>
      <c r="AM47" s="5">
        <f>SUM(AM37:AM43)</f>
        <v>803.13299999999992</v>
      </c>
      <c r="AN47" s="5">
        <f>SUM(AN37:AN43)</f>
        <v>862.03500000000008</v>
      </c>
      <c r="AO47" s="5">
        <f>SUM(AO37:AO43)</f>
        <v>900.60199999999986</v>
      </c>
    </row>
    <row r="48" spans="1:51" x14ac:dyDescent="0.2">
      <c r="A48" s="54" t="s">
        <v>205</v>
      </c>
      <c r="B48" s="53">
        <v>28.92</v>
      </c>
      <c r="C48" s="53">
        <v>31.56</v>
      </c>
      <c r="D48" s="53">
        <v>34.46</v>
      </c>
      <c r="E48" s="53">
        <v>32.42</v>
      </c>
      <c r="F48" s="53">
        <v>32.03</v>
      </c>
      <c r="G48" s="53">
        <v>30.28</v>
      </c>
      <c r="H48" s="53">
        <v>23.84</v>
      </c>
      <c r="I48" s="53">
        <v>23.24</v>
      </c>
      <c r="J48" s="53">
        <v>20.12</v>
      </c>
      <c r="K48" s="53">
        <v>18.97</v>
      </c>
      <c r="L48" s="53">
        <v>20.72</v>
      </c>
      <c r="M48" s="53">
        <v>19.260000000000002</v>
      </c>
      <c r="N48" s="53">
        <v>22.94</v>
      </c>
      <c r="O48" s="53">
        <v>20.58</v>
      </c>
      <c r="P48" s="53">
        <v>19.399999999999999</v>
      </c>
      <c r="Q48" s="53">
        <v>19.61</v>
      </c>
      <c r="R48" s="53"/>
      <c r="S48" s="53">
        <v>46</v>
      </c>
      <c r="T48" s="53">
        <v>16</v>
      </c>
    </row>
    <row r="49" spans="1:39" x14ac:dyDescent="0.2">
      <c r="A49" s="54" t="s">
        <v>206</v>
      </c>
      <c r="B49" s="53">
        <v>17.13</v>
      </c>
      <c r="C49" s="53">
        <v>17.77</v>
      </c>
      <c r="D49" s="53">
        <v>18.38</v>
      </c>
      <c r="E49" s="53">
        <v>17.600000000000001</v>
      </c>
      <c r="F49" s="53">
        <v>17.149999999999999</v>
      </c>
      <c r="G49" s="53">
        <v>16.8</v>
      </c>
      <c r="H49" s="53">
        <v>17.25</v>
      </c>
      <c r="I49" s="53">
        <v>18.260000000000002</v>
      </c>
      <c r="J49" s="53">
        <v>18.89</v>
      </c>
      <c r="K49" s="53">
        <v>17.57</v>
      </c>
      <c r="L49" s="53">
        <v>19.170000000000002</v>
      </c>
      <c r="M49" s="53">
        <v>28.39</v>
      </c>
      <c r="N49" s="53">
        <v>28.22</v>
      </c>
      <c r="O49" s="53">
        <v>30.05</v>
      </c>
      <c r="P49" s="53">
        <v>30.65</v>
      </c>
      <c r="Q49" s="53">
        <v>29.89</v>
      </c>
      <c r="R49" s="53"/>
      <c r="S49" s="53">
        <v>47</v>
      </c>
      <c r="T49" s="53">
        <v>14</v>
      </c>
    </row>
    <row r="50" spans="1:39" x14ac:dyDescent="0.2">
      <c r="A50" s="54" t="s">
        <v>207</v>
      </c>
      <c r="B50" s="53">
        <v>34.81</v>
      </c>
      <c r="C50" s="53">
        <v>32.29</v>
      </c>
      <c r="D50" s="53">
        <v>30.79</v>
      </c>
      <c r="E50" s="53">
        <v>37.659999999999997</v>
      </c>
      <c r="F50" s="53">
        <v>38</v>
      </c>
      <c r="G50" s="53">
        <v>34.840000000000003</v>
      </c>
      <c r="H50" s="53">
        <v>36.31</v>
      </c>
      <c r="I50" s="53">
        <v>40.81</v>
      </c>
      <c r="J50" s="53">
        <v>41.64</v>
      </c>
      <c r="K50" s="53">
        <v>36.770000000000003</v>
      </c>
      <c r="L50" s="53">
        <v>37.06</v>
      </c>
      <c r="M50" s="53">
        <v>41.82</v>
      </c>
      <c r="N50" s="53">
        <v>43.26</v>
      </c>
      <c r="O50" s="53">
        <v>36.25</v>
      </c>
      <c r="P50" s="53">
        <v>38.72</v>
      </c>
      <c r="Q50" s="53">
        <v>37.24</v>
      </c>
      <c r="R50" s="53"/>
      <c r="S50" s="53">
        <v>48</v>
      </c>
      <c r="T50" s="53">
        <v>13</v>
      </c>
      <c r="V50" t="s">
        <v>25</v>
      </c>
    </row>
    <row r="51" spans="1:39" x14ac:dyDescent="0.2">
      <c r="A51" s="54" t="s">
        <v>208</v>
      </c>
      <c r="B51" s="53">
        <v>31.74</v>
      </c>
      <c r="C51" s="53">
        <v>30.71</v>
      </c>
      <c r="D51" s="53">
        <v>32.17</v>
      </c>
      <c r="E51" s="53">
        <v>30.94</v>
      </c>
      <c r="F51" s="53">
        <v>29.08</v>
      </c>
      <c r="G51" s="53">
        <v>26.72</v>
      </c>
      <c r="H51" s="53">
        <v>22.98</v>
      </c>
      <c r="I51" s="53">
        <v>24.81</v>
      </c>
      <c r="J51" s="53">
        <v>24.38</v>
      </c>
      <c r="K51" s="53">
        <v>20.68</v>
      </c>
      <c r="L51" s="53">
        <v>23.64</v>
      </c>
      <c r="M51" s="53">
        <v>26.88</v>
      </c>
      <c r="N51" s="53">
        <v>28.59</v>
      </c>
      <c r="O51" s="53">
        <v>29.53</v>
      </c>
      <c r="P51" s="53">
        <v>28.47</v>
      </c>
      <c r="Q51" s="53">
        <v>29.18</v>
      </c>
      <c r="R51" s="53"/>
      <c r="S51" s="53">
        <v>49</v>
      </c>
      <c r="T51" s="53">
        <v>18</v>
      </c>
      <c r="V51" s="2" t="s">
        <v>12</v>
      </c>
      <c r="AM51">
        <f t="shared" ref="AM51:AM68" si="12">AM73*3.412*0.001</f>
        <v>159.61404240000002</v>
      </c>
    </row>
    <row r="52" spans="1:39" x14ac:dyDescent="0.2">
      <c r="A52" s="54" t="s">
        <v>209</v>
      </c>
      <c r="B52" s="53">
        <v>779.1</v>
      </c>
      <c r="C52" s="53">
        <v>784.2</v>
      </c>
      <c r="D52" s="53">
        <v>809.2</v>
      </c>
      <c r="E52" s="53">
        <v>782</v>
      </c>
      <c r="F52" s="53">
        <v>776.7</v>
      </c>
      <c r="G52" s="53">
        <v>733.7</v>
      </c>
      <c r="H52" s="53">
        <v>751.2</v>
      </c>
      <c r="I52" s="53">
        <v>778.2</v>
      </c>
      <c r="J52" s="53">
        <v>772.9</v>
      </c>
      <c r="K52" s="53">
        <v>681.5</v>
      </c>
      <c r="L52" s="53">
        <v>723</v>
      </c>
      <c r="M52" s="53">
        <v>691.9</v>
      </c>
      <c r="N52" s="53">
        <v>702.6</v>
      </c>
      <c r="O52" s="53">
        <v>719.8</v>
      </c>
      <c r="P52" s="53">
        <v>698.3</v>
      </c>
      <c r="Q52" s="53">
        <v>730.9</v>
      </c>
      <c r="R52" s="53"/>
      <c r="S52" s="53">
        <v>50</v>
      </c>
      <c r="T52" s="53">
        <v>1</v>
      </c>
      <c r="V52" s="2" t="s">
        <v>13</v>
      </c>
      <c r="AM52">
        <f t="shared" si="12"/>
        <v>87.091641199999998</v>
      </c>
    </row>
    <row r="53" spans="1:39" x14ac:dyDescent="0.2">
      <c r="A53" s="54" t="s">
        <v>210</v>
      </c>
      <c r="B53" s="53">
        <v>15.94</v>
      </c>
      <c r="C53" s="53">
        <v>19.14</v>
      </c>
      <c r="D53" s="53">
        <v>17.79</v>
      </c>
      <c r="E53" s="53">
        <v>16.23</v>
      </c>
      <c r="F53" s="53">
        <v>17.18</v>
      </c>
      <c r="G53" s="53">
        <v>16.72</v>
      </c>
      <c r="H53" s="53">
        <v>16.46</v>
      </c>
      <c r="I53" s="53">
        <v>19.059999999999999</v>
      </c>
      <c r="J53" s="53">
        <v>18.29</v>
      </c>
      <c r="K53" s="53">
        <v>19.45</v>
      </c>
      <c r="L53" s="53">
        <v>22.83</v>
      </c>
      <c r="M53" s="53">
        <v>22.69</v>
      </c>
      <c r="N53" s="53">
        <v>32.36</v>
      </c>
      <c r="O53" s="53">
        <v>20.49</v>
      </c>
      <c r="P53" s="53">
        <v>19.329999999999998</v>
      </c>
      <c r="Q53" s="53">
        <v>19.8</v>
      </c>
      <c r="R53" s="53"/>
      <c r="S53" s="53">
        <v>51</v>
      </c>
      <c r="T53" s="53">
        <v>1</v>
      </c>
      <c r="V53" s="2" t="s">
        <v>14</v>
      </c>
      <c r="AM53">
        <f t="shared" si="12"/>
        <v>24.469840399999999</v>
      </c>
    </row>
    <row r="54" spans="1:39" x14ac:dyDescent="0.2">
      <c r="A54" s="54" t="s">
        <v>211</v>
      </c>
      <c r="B54" s="53">
        <v>139.9</v>
      </c>
      <c r="C54" s="53">
        <v>140.80000000000001</v>
      </c>
      <c r="D54" s="53">
        <v>134.5</v>
      </c>
      <c r="E54" s="53">
        <v>127</v>
      </c>
      <c r="F54" s="53">
        <v>119.4</v>
      </c>
      <c r="G54" s="53">
        <v>118.3</v>
      </c>
      <c r="H54" s="53">
        <v>103.1</v>
      </c>
      <c r="I54" s="53">
        <v>117.1</v>
      </c>
      <c r="J54" s="53">
        <v>113.3</v>
      </c>
      <c r="K54" s="53">
        <v>100.2</v>
      </c>
      <c r="L54" s="53">
        <v>105.2</v>
      </c>
      <c r="M54" s="53">
        <v>105.8</v>
      </c>
      <c r="N54" s="53">
        <v>22.46</v>
      </c>
      <c r="O54" s="53">
        <v>96.44</v>
      </c>
      <c r="P54" s="53">
        <v>125.7</v>
      </c>
      <c r="Q54" s="53">
        <v>92.62</v>
      </c>
      <c r="R54" s="53"/>
      <c r="S54" s="53">
        <v>52</v>
      </c>
      <c r="T54" s="53">
        <v>2</v>
      </c>
      <c r="V54">
        <v>321</v>
      </c>
      <c r="AM54">
        <f t="shared" si="12"/>
        <v>57.203885999999997</v>
      </c>
    </row>
    <row r="55" spans="1:39" x14ac:dyDescent="0.2">
      <c r="A55" s="54" t="s">
        <v>212</v>
      </c>
      <c r="B55" s="53">
        <v>45.36</v>
      </c>
      <c r="C55" s="53">
        <v>49.42</v>
      </c>
      <c r="D55" s="53">
        <v>50.23</v>
      </c>
      <c r="E55" s="53">
        <v>48.22</v>
      </c>
      <c r="F55" s="53">
        <v>41.56</v>
      </c>
      <c r="G55" s="53">
        <v>39.39</v>
      </c>
      <c r="H55" s="53">
        <v>34.229999999999997</v>
      </c>
      <c r="I55" s="53">
        <v>38.86</v>
      </c>
      <c r="J55" s="53">
        <v>40.57</v>
      </c>
      <c r="K55" s="53">
        <v>36.07</v>
      </c>
      <c r="L55" s="53">
        <v>40.19</v>
      </c>
      <c r="M55" s="53">
        <v>44.89</v>
      </c>
      <c r="N55" s="53">
        <v>42.1</v>
      </c>
      <c r="O55" s="53">
        <v>44.35</v>
      </c>
      <c r="P55" s="53">
        <v>41.03</v>
      </c>
      <c r="Q55" s="53">
        <v>39.14</v>
      </c>
      <c r="R55" s="53"/>
      <c r="S55" s="53">
        <v>53</v>
      </c>
      <c r="T55" s="53">
        <v>2</v>
      </c>
      <c r="V55">
        <v>322</v>
      </c>
      <c r="AM55">
        <f t="shared" si="12"/>
        <v>178.95667039999998</v>
      </c>
    </row>
    <row r="56" spans="1:39" x14ac:dyDescent="0.2">
      <c r="A56" s="54" t="s">
        <v>213</v>
      </c>
      <c r="B56" s="53">
        <v>33.159999999999997</v>
      </c>
      <c r="C56" s="53">
        <v>39.619999999999997</v>
      </c>
      <c r="D56" s="53">
        <v>40.35</v>
      </c>
      <c r="E56" s="53">
        <v>39.979999999999997</v>
      </c>
      <c r="F56" s="53">
        <v>38.020000000000003</v>
      </c>
      <c r="G56" s="53">
        <v>35.74</v>
      </c>
      <c r="H56" s="53">
        <v>33.11</v>
      </c>
      <c r="I56" s="53">
        <v>36.5</v>
      </c>
      <c r="J56" s="53">
        <v>34.81</v>
      </c>
      <c r="K56" s="53">
        <v>31.22</v>
      </c>
      <c r="L56" s="53">
        <v>33.799999999999997</v>
      </c>
      <c r="M56" s="53">
        <v>38.020000000000003</v>
      </c>
      <c r="N56" s="53">
        <v>39.75</v>
      </c>
      <c r="O56" s="53">
        <v>39.76</v>
      </c>
      <c r="P56" s="53">
        <v>3.637</v>
      </c>
      <c r="Q56" s="53">
        <v>41.55</v>
      </c>
      <c r="R56" s="53"/>
      <c r="S56" s="53">
        <v>54</v>
      </c>
      <c r="T56" s="53">
        <v>2</v>
      </c>
      <c r="V56">
        <v>323</v>
      </c>
      <c r="AM56">
        <f t="shared" si="12"/>
        <v>42.249089999999995</v>
      </c>
    </row>
    <row r="57" spans="1:39" x14ac:dyDescent="0.2">
      <c r="A57" s="54" t="s">
        <v>214</v>
      </c>
      <c r="B57" s="53">
        <v>23.87</v>
      </c>
      <c r="C57" s="53">
        <v>27.05</v>
      </c>
      <c r="D57" s="53">
        <v>29.75</v>
      </c>
      <c r="E57" s="53">
        <v>26.07</v>
      </c>
      <c r="F57" s="53">
        <v>26.05</v>
      </c>
      <c r="G57" s="53">
        <v>27.31</v>
      </c>
      <c r="H57" s="53">
        <v>19.829999999999998</v>
      </c>
      <c r="I57" s="53">
        <v>21.42</v>
      </c>
      <c r="J57" s="53">
        <v>19.5</v>
      </c>
      <c r="K57" s="53">
        <v>16.3</v>
      </c>
      <c r="L57" s="53">
        <v>20.6</v>
      </c>
      <c r="M57" s="53">
        <v>22.01</v>
      </c>
      <c r="N57" s="53">
        <v>24.18</v>
      </c>
      <c r="O57" s="53">
        <v>18.78</v>
      </c>
      <c r="P57" s="53">
        <v>15.88</v>
      </c>
      <c r="Q57" s="53">
        <v>18.59</v>
      </c>
      <c r="R57" s="53"/>
      <c r="S57" s="53">
        <v>55</v>
      </c>
      <c r="T57" s="53">
        <v>3</v>
      </c>
      <c r="V57">
        <v>324</v>
      </c>
      <c r="AM57">
        <f t="shared" si="12"/>
        <v>119.877208</v>
      </c>
    </row>
    <row r="58" spans="1:39" x14ac:dyDescent="0.2">
      <c r="A58" s="54" t="s">
        <v>215</v>
      </c>
      <c r="B58" s="53">
        <v>12.44</v>
      </c>
      <c r="C58" s="53">
        <v>13.27</v>
      </c>
      <c r="D58" s="53">
        <v>13.62</v>
      </c>
      <c r="E58" s="53">
        <v>10.76</v>
      </c>
      <c r="F58" s="53">
        <v>9.7129999999999992</v>
      </c>
      <c r="G58" s="53">
        <v>10.49</v>
      </c>
      <c r="H58" s="53">
        <v>9.9870000000000001</v>
      </c>
      <c r="I58" s="53">
        <v>9.5890000000000004</v>
      </c>
      <c r="J58" s="53">
        <v>10.199999999999999</v>
      </c>
      <c r="K58" s="53">
        <v>8.8620000000000001</v>
      </c>
      <c r="L58" s="53">
        <v>10.9</v>
      </c>
      <c r="M58" s="53">
        <v>11.51</v>
      </c>
      <c r="N58" s="53">
        <v>10.7</v>
      </c>
      <c r="O58" s="53">
        <v>11.24</v>
      </c>
      <c r="P58" s="53">
        <v>11.11</v>
      </c>
      <c r="Q58" s="53">
        <v>11.82</v>
      </c>
      <c r="R58" s="53"/>
      <c r="S58" s="53">
        <v>56</v>
      </c>
      <c r="T58" s="53">
        <v>2</v>
      </c>
      <c r="V58">
        <v>325</v>
      </c>
      <c r="AM58">
        <f t="shared" si="12"/>
        <v>429.44284999999996</v>
      </c>
    </row>
    <row r="59" spans="1:39" x14ac:dyDescent="0.2">
      <c r="A59" s="54" t="s">
        <v>216</v>
      </c>
      <c r="B59" s="53">
        <v>1044</v>
      </c>
      <c r="C59" s="53">
        <v>1049</v>
      </c>
      <c r="D59" s="53">
        <v>1015</v>
      </c>
      <c r="E59" s="53">
        <v>1007</v>
      </c>
      <c r="F59" s="53">
        <v>969.6</v>
      </c>
      <c r="G59" s="53">
        <v>920.4</v>
      </c>
      <c r="H59" s="53">
        <v>874.5</v>
      </c>
      <c r="I59" s="53">
        <v>947.2</v>
      </c>
      <c r="J59" s="53">
        <v>958.9</v>
      </c>
      <c r="K59" s="53">
        <v>905.2</v>
      </c>
      <c r="L59" s="53">
        <v>902.2</v>
      </c>
      <c r="M59" s="53">
        <v>907.7</v>
      </c>
      <c r="N59" s="53">
        <v>927</v>
      </c>
      <c r="O59" s="53">
        <v>931.1</v>
      </c>
      <c r="P59" s="53">
        <v>962.5</v>
      </c>
      <c r="Q59" s="53">
        <v>911.2</v>
      </c>
      <c r="R59" s="53"/>
      <c r="S59" s="53">
        <v>57</v>
      </c>
      <c r="T59" s="53">
        <v>5</v>
      </c>
      <c r="V59">
        <v>326</v>
      </c>
      <c r="AM59">
        <f t="shared" si="12"/>
        <v>102.70972999999999</v>
      </c>
    </row>
    <row r="60" spans="1:39" x14ac:dyDescent="0.2">
      <c r="A60" s="54" t="s">
        <v>217</v>
      </c>
      <c r="B60" s="53">
        <v>39.33</v>
      </c>
      <c r="C60" s="53">
        <v>40.090000000000003</v>
      </c>
      <c r="D60" s="53">
        <v>41.61</v>
      </c>
      <c r="E60" s="53">
        <v>43.18</v>
      </c>
      <c r="F60" s="53">
        <v>40.86</v>
      </c>
      <c r="G60" s="53">
        <v>37.75</v>
      </c>
      <c r="H60" s="53">
        <v>39.11</v>
      </c>
      <c r="I60" s="53">
        <v>41.85</v>
      </c>
      <c r="J60" s="53">
        <v>45.39</v>
      </c>
      <c r="K60" s="53">
        <v>42.54</v>
      </c>
      <c r="L60" s="53">
        <v>47.72</v>
      </c>
      <c r="M60" s="53">
        <v>48.24</v>
      </c>
      <c r="N60" s="53">
        <v>49.42</v>
      </c>
      <c r="O60" s="53">
        <v>53.02</v>
      </c>
      <c r="P60" s="53">
        <v>52.86</v>
      </c>
      <c r="Q60" s="53">
        <v>51.34</v>
      </c>
      <c r="R60" s="53"/>
      <c r="S60" s="53">
        <v>58</v>
      </c>
      <c r="T60" s="53">
        <v>5</v>
      </c>
      <c r="V60">
        <v>327</v>
      </c>
      <c r="AK60">
        <f>AK82*3.412*0.001</f>
        <v>84.732243199999999</v>
      </c>
      <c r="AL60">
        <f>AL82*3.412*0.001</f>
        <v>102.50705719999999</v>
      </c>
      <c r="AM60">
        <f t="shared" si="12"/>
        <v>104.1233216</v>
      </c>
    </row>
    <row r="61" spans="1:39" x14ac:dyDescent="0.2">
      <c r="A61" s="54" t="s">
        <v>218</v>
      </c>
      <c r="B61" s="53">
        <v>37.090000000000003</v>
      </c>
      <c r="C61" s="53">
        <v>39.61</v>
      </c>
      <c r="D61" s="53">
        <v>41.56</v>
      </c>
      <c r="E61" s="53">
        <v>40.19</v>
      </c>
      <c r="F61" s="53">
        <v>39.880000000000003</v>
      </c>
      <c r="G61" s="53">
        <v>39.83</v>
      </c>
      <c r="H61" s="53">
        <v>38.9</v>
      </c>
      <c r="I61" s="53">
        <v>45.38</v>
      </c>
      <c r="J61" s="53">
        <v>43.54</v>
      </c>
      <c r="K61" s="53">
        <v>39.07</v>
      </c>
      <c r="L61" s="53">
        <v>45.87</v>
      </c>
      <c r="M61" s="53">
        <v>45.31</v>
      </c>
      <c r="N61" s="53">
        <v>46.27</v>
      </c>
      <c r="O61" s="53">
        <v>46.74</v>
      </c>
      <c r="P61" s="53">
        <v>45.91</v>
      </c>
      <c r="Q61" s="53">
        <v>43.78</v>
      </c>
      <c r="R61" s="53"/>
      <c r="S61" s="53">
        <v>59</v>
      </c>
      <c r="T61" s="53">
        <v>5</v>
      </c>
      <c r="V61">
        <v>331</v>
      </c>
      <c r="AM61">
        <f t="shared" si="12"/>
        <v>454.31496520000002</v>
      </c>
    </row>
    <row r="62" spans="1:39" x14ac:dyDescent="0.2">
      <c r="A62" s="54" t="s">
        <v>219</v>
      </c>
      <c r="B62" s="53">
        <v>38.409999999999997</v>
      </c>
      <c r="C62" s="53">
        <v>46.49</v>
      </c>
      <c r="D62" s="53">
        <v>46.76</v>
      </c>
      <c r="E62" s="53">
        <v>51.27</v>
      </c>
      <c r="F62" s="53">
        <v>49.94</v>
      </c>
      <c r="G62" s="53">
        <v>49.95</v>
      </c>
      <c r="H62" s="53">
        <v>52.48</v>
      </c>
      <c r="I62" s="53">
        <v>55.15</v>
      </c>
      <c r="J62" s="53">
        <v>60.21</v>
      </c>
      <c r="K62" s="53">
        <v>51.11</v>
      </c>
      <c r="L62" s="53">
        <v>58.24</v>
      </c>
      <c r="M62" s="53">
        <v>66.930000000000007</v>
      </c>
      <c r="N62" s="53">
        <v>70.13</v>
      </c>
      <c r="O62" s="53">
        <v>74.56</v>
      </c>
      <c r="P62" s="53">
        <v>72.91</v>
      </c>
      <c r="Q62" s="53">
        <v>71.09</v>
      </c>
      <c r="R62" s="53"/>
      <c r="S62" s="53">
        <v>60</v>
      </c>
      <c r="T62" s="53">
        <v>6</v>
      </c>
      <c r="V62">
        <v>332</v>
      </c>
      <c r="AM62">
        <f t="shared" si="12"/>
        <v>95.447629199999994</v>
      </c>
    </row>
    <row r="63" spans="1:39" x14ac:dyDescent="0.2">
      <c r="A63" s="54" t="s">
        <v>220</v>
      </c>
      <c r="B63" s="53">
        <v>1519</v>
      </c>
      <c r="C63" s="53">
        <v>1481</v>
      </c>
      <c r="D63" s="53">
        <v>1380</v>
      </c>
      <c r="E63" s="53">
        <v>1387</v>
      </c>
      <c r="F63" s="53">
        <v>1292</v>
      </c>
      <c r="G63" s="53">
        <v>1203</v>
      </c>
      <c r="H63" s="53">
        <v>1071</v>
      </c>
      <c r="I63" s="53">
        <v>1125</v>
      </c>
      <c r="J63" s="53">
        <v>1161</v>
      </c>
      <c r="K63" s="53">
        <v>932.8</v>
      </c>
      <c r="L63" s="53">
        <v>797.3</v>
      </c>
      <c r="M63" s="53">
        <v>955</v>
      </c>
      <c r="N63" s="53">
        <v>1026</v>
      </c>
      <c r="O63" s="53">
        <v>1050</v>
      </c>
      <c r="P63" s="53">
        <v>1057</v>
      </c>
      <c r="Q63" s="53">
        <v>1042</v>
      </c>
      <c r="R63" s="53"/>
      <c r="S63" s="53">
        <v>61</v>
      </c>
      <c r="T63" s="53">
        <v>8</v>
      </c>
      <c r="V63">
        <v>333</v>
      </c>
      <c r="AM63">
        <f t="shared" si="12"/>
        <v>103.2942056</v>
      </c>
    </row>
    <row r="64" spans="1:39" x14ac:dyDescent="0.2">
      <c r="A64" s="54" t="s">
        <v>221</v>
      </c>
      <c r="B64" s="53">
        <v>340.3</v>
      </c>
      <c r="C64" s="53">
        <v>287.7</v>
      </c>
      <c r="D64" s="53">
        <v>312</v>
      </c>
      <c r="E64" s="53">
        <v>286.5</v>
      </c>
      <c r="F64" s="53">
        <v>292.60000000000002</v>
      </c>
      <c r="G64" s="53">
        <v>298.39999999999998</v>
      </c>
      <c r="H64" s="53">
        <v>226.6</v>
      </c>
      <c r="I64" s="53">
        <v>194.2</v>
      </c>
      <c r="J64" s="53">
        <v>222.5</v>
      </c>
      <c r="K64" s="53">
        <v>211.7</v>
      </c>
      <c r="L64" s="53">
        <v>165.3</v>
      </c>
      <c r="M64" s="53">
        <v>173.9</v>
      </c>
      <c r="N64" s="53">
        <v>186.9</v>
      </c>
      <c r="O64" s="53">
        <v>178.5</v>
      </c>
      <c r="P64" s="53">
        <v>182.5</v>
      </c>
      <c r="Q64" s="53">
        <v>187.1</v>
      </c>
      <c r="R64" s="53"/>
      <c r="S64" s="53">
        <v>62</v>
      </c>
      <c r="T64" s="53">
        <v>8</v>
      </c>
      <c r="V64">
        <v>334</v>
      </c>
      <c r="AM64">
        <f t="shared" si="12"/>
        <v>25.009618799999998</v>
      </c>
    </row>
    <row r="65" spans="1:39" x14ac:dyDescent="0.2">
      <c r="A65" s="54" t="s">
        <v>222</v>
      </c>
      <c r="B65" s="53">
        <v>23.44</v>
      </c>
      <c r="C65" s="53">
        <v>21.99</v>
      </c>
      <c r="D65" s="53">
        <v>20.75</v>
      </c>
      <c r="E65" s="53">
        <v>19.190000000000001</v>
      </c>
      <c r="F65" s="53">
        <v>18.649999999999999</v>
      </c>
      <c r="G65" s="53">
        <v>36.229999999999997</v>
      </c>
      <c r="H65" s="53">
        <v>33.01</v>
      </c>
      <c r="I65" s="53">
        <v>33.39</v>
      </c>
      <c r="J65" s="53">
        <v>43.36</v>
      </c>
      <c r="K65" s="53">
        <v>37.340000000000003</v>
      </c>
      <c r="L65" s="53">
        <v>35.590000000000003</v>
      </c>
      <c r="M65" s="53">
        <v>38.090000000000003</v>
      </c>
      <c r="N65" s="53">
        <v>36.950000000000003</v>
      </c>
      <c r="O65" s="53">
        <v>44.87</v>
      </c>
      <c r="P65" s="53">
        <v>46.33</v>
      </c>
      <c r="Q65" s="53">
        <v>47.23</v>
      </c>
      <c r="R65" s="53"/>
      <c r="S65" s="53">
        <v>63</v>
      </c>
      <c r="T65" s="53">
        <v>8</v>
      </c>
      <c r="V65">
        <v>335</v>
      </c>
      <c r="AM65">
        <f t="shared" si="12"/>
        <v>111.992076</v>
      </c>
    </row>
    <row r="66" spans="1:39" x14ac:dyDescent="0.2">
      <c r="A66" s="54" t="s">
        <v>223</v>
      </c>
      <c r="B66" s="53">
        <v>125.9</v>
      </c>
      <c r="C66" s="53">
        <v>131.69999999999999</v>
      </c>
      <c r="D66" s="53">
        <v>125.7</v>
      </c>
      <c r="E66" s="53">
        <v>141</v>
      </c>
      <c r="F66" s="53">
        <v>137.1</v>
      </c>
      <c r="G66" s="53">
        <v>128.9</v>
      </c>
      <c r="H66" s="53">
        <v>141.5</v>
      </c>
      <c r="I66" s="53">
        <v>159.5</v>
      </c>
      <c r="J66" s="53">
        <v>174.2</v>
      </c>
      <c r="K66" s="53">
        <v>168.4</v>
      </c>
      <c r="L66" s="53">
        <v>169.3</v>
      </c>
      <c r="M66" s="53">
        <v>182</v>
      </c>
      <c r="N66" s="53">
        <v>191.2</v>
      </c>
      <c r="O66" s="53">
        <v>191.4</v>
      </c>
      <c r="P66" s="53">
        <v>193.3</v>
      </c>
      <c r="Q66" s="53">
        <v>190.5</v>
      </c>
      <c r="R66" s="53"/>
      <c r="S66" s="53">
        <v>64</v>
      </c>
      <c r="T66" s="53">
        <v>8</v>
      </c>
      <c r="V66">
        <v>336</v>
      </c>
      <c r="AM66">
        <f t="shared" si="12"/>
        <v>117.838538</v>
      </c>
    </row>
    <row r="67" spans="1:39" x14ac:dyDescent="0.2">
      <c r="A67" s="54" t="s">
        <v>224</v>
      </c>
      <c r="B67" s="53">
        <v>22.21</v>
      </c>
      <c r="C67" s="53">
        <v>22.55</v>
      </c>
      <c r="D67" s="53">
        <v>18.61</v>
      </c>
      <c r="E67" s="53">
        <v>35.35</v>
      </c>
      <c r="F67" s="53">
        <v>31.08</v>
      </c>
      <c r="G67" s="53">
        <v>35.24</v>
      </c>
      <c r="H67" s="53">
        <v>44.72</v>
      </c>
      <c r="I67" s="53">
        <v>41.93</v>
      </c>
      <c r="J67" s="53">
        <v>39.31</v>
      </c>
      <c r="K67" s="53">
        <v>30.51</v>
      </c>
      <c r="L67" s="53">
        <v>29.17</v>
      </c>
      <c r="M67" s="53">
        <v>35.19</v>
      </c>
      <c r="N67" s="53">
        <v>38.770000000000003</v>
      </c>
      <c r="O67" s="53">
        <v>42.18</v>
      </c>
      <c r="P67" s="53">
        <v>44.5</v>
      </c>
      <c r="Q67" s="53">
        <v>44.98</v>
      </c>
      <c r="R67" s="53"/>
      <c r="S67" s="53">
        <v>65</v>
      </c>
      <c r="T67" s="53">
        <v>8</v>
      </c>
      <c r="V67">
        <v>337</v>
      </c>
      <c r="AM67">
        <f t="shared" si="12"/>
        <v>15.2693824</v>
      </c>
    </row>
    <row r="68" spans="1:39" x14ac:dyDescent="0.2">
      <c r="A68" s="54" t="s">
        <v>225</v>
      </c>
      <c r="B68" s="53">
        <v>146.5</v>
      </c>
      <c r="C68" s="53">
        <v>165.7</v>
      </c>
      <c r="D68" s="53">
        <v>155</v>
      </c>
      <c r="E68" s="53">
        <v>160.4</v>
      </c>
      <c r="F68" s="53">
        <v>142.80000000000001</v>
      </c>
      <c r="G68" s="53">
        <v>152.19999999999999</v>
      </c>
      <c r="H68" s="53">
        <v>125.7</v>
      </c>
      <c r="I68" s="53">
        <v>138.4</v>
      </c>
      <c r="J68" s="53">
        <v>132.69999999999999</v>
      </c>
      <c r="K68" s="53">
        <v>117.3</v>
      </c>
      <c r="L68" s="53">
        <v>112.3</v>
      </c>
      <c r="M68" s="53">
        <v>105.7</v>
      </c>
      <c r="N68" s="53">
        <v>99.49</v>
      </c>
      <c r="O68" s="53">
        <v>115.6</v>
      </c>
      <c r="P68" s="53">
        <v>115.9</v>
      </c>
      <c r="Q68" s="53">
        <v>114.2</v>
      </c>
      <c r="R68" s="53"/>
      <c r="S68" s="53">
        <v>66</v>
      </c>
      <c r="T68" s="53">
        <v>8</v>
      </c>
      <c r="V68">
        <v>339</v>
      </c>
      <c r="AM68">
        <f t="shared" si="12"/>
        <v>11.8935496</v>
      </c>
    </row>
    <row r="69" spans="1:39" x14ac:dyDescent="0.2">
      <c r="A69" s="54" t="s">
        <v>226</v>
      </c>
      <c r="B69" s="53">
        <v>89.18</v>
      </c>
      <c r="C69" s="53">
        <v>88.6</v>
      </c>
      <c r="D69" s="53">
        <v>90.46</v>
      </c>
      <c r="E69" s="53">
        <v>89.82</v>
      </c>
      <c r="F69" s="53">
        <v>96.55</v>
      </c>
      <c r="G69" s="53">
        <v>99.34</v>
      </c>
      <c r="H69" s="53">
        <v>99.68</v>
      </c>
      <c r="I69" s="53">
        <v>108.9</v>
      </c>
      <c r="J69" s="53">
        <v>107</v>
      </c>
      <c r="K69" s="53">
        <v>96.65</v>
      </c>
      <c r="L69" s="53">
        <v>102.9</v>
      </c>
      <c r="M69" s="53">
        <v>100.7</v>
      </c>
      <c r="N69" s="53">
        <v>109.6</v>
      </c>
      <c r="O69" s="53">
        <v>97.81</v>
      </c>
      <c r="P69" s="53">
        <v>94.21</v>
      </c>
      <c r="Q69" s="53">
        <v>102.6</v>
      </c>
      <c r="R69" s="53"/>
      <c r="S69" s="53">
        <v>67</v>
      </c>
      <c r="T69" s="53">
        <v>8</v>
      </c>
    </row>
    <row r="70" spans="1:39" x14ac:dyDescent="0.2">
      <c r="A70" s="54" t="s">
        <v>227</v>
      </c>
      <c r="B70" s="53">
        <v>9.4789999999999992</v>
      </c>
      <c r="C70" s="53">
        <v>9.9870000000000001</v>
      </c>
      <c r="D70" s="53">
        <v>14.91</v>
      </c>
      <c r="E70" s="53">
        <v>11.16</v>
      </c>
      <c r="F70" s="53">
        <v>11.77</v>
      </c>
      <c r="G70" s="53">
        <v>10.87</v>
      </c>
      <c r="H70" s="53">
        <v>9.8450000000000006</v>
      </c>
      <c r="I70" s="53">
        <v>16.57</v>
      </c>
      <c r="J70" s="53">
        <v>12.73</v>
      </c>
      <c r="K70" s="53">
        <v>12.53</v>
      </c>
      <c r="L70" s="53">
        <v>14.02</v>
      </c>
      <c r="M70" s="53">
        <v>14.06</v>
      </c>
      <c r="N70" s="53">
        <v>17.03</v>
      </c>
      <c r="O70" s="53">
        <v>13.44</v>
      </c>
      <c r="P70" s="53">
        <v>12.4</v>
      </c>
      <c r="Q70" s="53">
        <v>13.23</v>
      </c>
      <c r="R70" s="53"/>
      <c r="S70" s="53">
        <v>68</v>
      </c>
      <c r="T70" s="53">
        <v>8</v>
      </c>
      <c r="AM70">
        <f>SUM(AM51:AM68)</f>
        <v>2240.7982447999998</v>
      </c>
    </row>
    <row r="71" spans="1:39" x14ac:dyDescent="0.2">
      <c r="A71" s="54" t="s">
        <v>228</v>
      </c>
      <c r="B71" s="53">
        <v>105.4</v>
      </c>
      <c r="C71" s="53">
        <v>113.8</v>
      </c>
      <c r="D71" s="53">
        <v>108.5</v>
      </c>
      <c r="E71" s="53">
        <v>112</v>
      </c>
      <c r="F71" s="53">
        <v>85.26</v>
      </c>
      <c r="G71" s="53">
        <v>82.65</v>
      </c>
      <c r="H71" s="53">
        <v>80.739999999999995</v>
      </c>
      <c r="I71" s="53">
        <v>82.05</v>
      </c>
      <c r="J71" s="53">
        <v>83.14</v>
      </c>
      <c r="K71" s="53">
        <v>75.41</v>
      </c>
      <c r="L71" s="53">
        <v>77.19</v>
      </c>
      <c r="M71" s="53">
        <v>79.930000000000007</v>
      </c>
      <c r="N71" s="53">
        <v>79.16</v>
      </c>
      <c r="O71" s="53">
        <v>78.150000000000006</v>
      </c>
      <c r="P71" s="53">
        <v>74.510000000000005</v>
      </c>
      <c r="Q71" s="53">
        <v>71.03</v>
      </c>
      <c r="R71" s="53"/>
      <c r="S71" s="53">
        <v>69</v>
      </c>
      <c r="T71" s="53">
        <v>8</v>
      </c>
      <c r="AM71">
        <f>SUM(AM62:AM68)</f>
        <v>480.74499959999991</v>
      </c>
    </row>
    <row r="72" spans="1:39" x14ac:dyDescent="0.2">
      <c r="A72" s="54" t="s">
        <v>229</v>
      </c>
      <c r="B72" s="53">
        <v>2780</v>
      </c>
      <c r="C72" s="53">
        <v>2866</v>
      </c>
      <c r="D72" s="53">
        <v>2847</v>
      </c>
      <c r="E72" s="53">
        <v>2800</v>
      </c>
      <c r="F72" s="53">
        <v>2692</v>
      </c>
      <c r="G72" s="53">
        <v>2262</v>
      </c>
      <c r="H72" s="53">
        <v>2240</v>
      </c>
      <c r="I72" s="53">
        <v>2266</v>
      </c>
      <c r="J72" s="53">
        <v>2295</v>
      </c>
      <c r="K72" s="53">
        <v>2322</v>
      </c>
      <c r="L72" s="53">
        <v>2074</v>
      </c>
      <c r="M72" s="53">
        <v>1642</v>
      </c>
      <c r="N72" s="53">
        <v>1739</v>
      </c>
      <c r="O72" s="53">
        <v>1820</v>
      </c>
      <c r="P72" s="53">
        <v>2120</v>
      </c>
      <c r="Q72" s="53">
        <v>2055</v>
      </c>
      <c r="R72" s="53"/>
      <c r="S72" s="53">
        <v>70</v>
      </c>
      <c r="T72" s="53">
        <v>7</v>
      </c>
    </row>
    <row r="73" spans="1:39" x14ac:dyDescent="0.2">
      <c r="A73" s="54" t="s">
        <v>230</v>
      </c>
      <c r="B73" s="53">
        <v>12.12</v>
      </c>
      <c r="C73" s="53">
        <v>12.7</v>
      </c>
      <c r="D73" s="53">
        <v>12.57</v>
      </c>
      <c r="E73" s="53">
        <v>12.65</v>
      </c>
      <c r="F73" s="53">
        <v>12.03</v>
      </c>
      <c r="G73" s="53">
        <v>12.23</v>
      </c>
      <c r="H73" s="53">
        <v>10.88</v>
      </c>
      <c r="I73" s="53">
        <v>8.625</v>
      </c>
      <c r="J73" s="53">
        <v>9.6649999999999991</v>
      </c>
      <c r="K73" s="53">
        <v>7.806</v>
      </c>
      <c r="L73" s="53">
        <v>10.74</v>
      </c>
      <c r="M73" s="53">
        <v>7.54</v>
      </c>
      <c r="N73" s="53">
        <v>8.2520000000000007</v>
      </c>
      <c r="O73" s="53">
        <v>8.2759999999999998</v>
      </c>
      <c r="P73" s="53">
        <v>7.5650000000000004</v>
      </c>
      <c r="Q73" s="53">
        <v>9.3040000000000003</v>
      </c>
      <c r="R73" s="53"/>
      <c r="S73" s="53">
        <v>71</v>
      </c>
      <c r="T73" s="53">
        <v>7</v>
      </c>
      <c r="V73" s="2" t="s">
        <v>12</v>
      </c>
      <c r="AM73">
        <f>45293.9+1486.3</f>
        <v>46780.200000000004</v>
      </c>
    </row>
    <row r="74" spans="1:39" x14ac:dyDescent="0.2">
      <c r="A74" s="54" t="s">
        <v>231</v>
      </c>
      <c r="B74" s="53">
        <v>45.04</v>
      </c>
      <c r="C74" s="53">
        <v>54.63</v>
      </c>
      <c r="D74" s="53">
        <v>64.64</v>
      </c>
      <c r="E74" s="53">
        <v>60.88</v>
      </c>
      <c r="F74" s="53">
        <v>56.18</v>
      </c>
      <c r="G74" s="53">
        <v>47.61</v>
      </c>
      <c r="H74" s="53">
        <v>52.04</v>
      </c>
      <c r="I74" s="53">
        <v>55.36</v>
      </c>
      <c r="J74" s="53">
        <v>46.79</v>
      </c>
      <c r="K74" s="53">
        <v>46.91</v>
      </c>
      <c r="L74" s="53">
        <v>56.01</v>
      </c>
      <c r="M74" s="53">
        <v>52.19</v>
      </c>
      <c r="N74" s="53">
        <v>56.46</v>
      </c>
      <c r="O74" s="53">
        <v>49.43</v>
      </c>
      <c r="P74" s="53">
        <v>48.12</v>
      </c>
      <c r="Q74" s="53">
        <v>47.19</v>
      </c>
      <c r="R74" s="53"/>
      <c r="S74" s="53">
        <v>72</v>
      </c>
      <c r="T74" s="53">
        <v>7</v>
      </c>
      <c r="V74" s="2" t="s">
        <v>13</v>
      </c>
      <c r="AM74">
        <f>25525.1</f>
        <v>25525.1</v>
      </c>
    </row>
    <row r="75" spans="1:39" x14ac:dyDescent="0.2">
      <c r="A75" s="54" t="s">
        <v>232</v>
      </c>
      <c r="B75" s="53">
        <v>166.2</v>
      </c>
      <c r="C75" s="53">
        <v>189.1</v>
      </c>
      <c r="D75" s="53">
        <v>177.2</v>
      </c>
      <c r="E75" s="53">
        <v>164.9</v>
      </c>
      <c r="F75" s="53">
        <v>143.9</v>
      </c>
      <c r="G75" s="53">
        <v>138.6</v>
      </c>
      <c r="H75" s="53">
        <v>131.69999999999999</v>
      </c>
      <c r="I75" s="53">
        <v>139.1</v>
      </c>
      <c r="J75" s="53">
        <v>140.80000000000001</v>
      </c>
      <c r="K75" s="53">
        <v>124.2</v>
      </c>
      <c r="L75" s="53">
        <v>134.1</v>
      </c>
      <c r="M75" s="53">
        <v>153.9</v>
      </c>
      <c r="N75" s="53">
        <v>153.19999999999999</v>
      </c>
      <c r="O75" s="53">
        <v>167</v>
      </c>
      <c r="P75" s="53">
        <v>151.4</v>
      </c>
      <c r="Q75" s="53">
        <v>145.9</v>
      </c>
      <c r="R75" s="53"/>
      <c r="S75" s="53">
        <v>73</v>
      </c>
      <c r="T75" s="53">
        <v>9</v>
      </c>
      <c r="V75" s="2" t="s">
        <v>14</v>
      </c>
      <c r="AM75">
        <f>6131.5+1040.2</f>
        <v>7171.7</v>
      </c>
    </row>
    <row r="76" spans="1:39" x14ac:dyDescent="0.2">
      <c r="A76" s="54" t="s">
        <v>233</v>
      </c>
      <c r="B76" s="53">
        <v>11.52</v>
      </c>
      <c r="C76" s="53">
        <v>12.11</v>
      </c>
      <c r="D76" s="53">
        <v>10.78</v>
      </c>
      <c r="E76" s="53">
        <v>9.984</v>
      </c>
      <c r="F76" s="53">
        <v>9.4480000000000004</v>
      </c>
      <c r="G76" s="53">
        <v>9.3160000000000007</v>
      </c>
      <c r="H76" s="53">
        <v>8.7119999999999997</v>
      </c>
      <c r="I76" s="53">
        <v>9.61</v>
      </c>
      <c r="J76" s="53">
        <v>8.0150000000000006</v>
      </c>
      <c r="K76" s="53">
        <v>7.0609999999999999</v>
      </c>
      <c r="L76" s="53">
        <v>7.2889999999999997</v>
      </c>
      <c r="M76" s="53">
        <v>6.7830000000000004</v>
      </c>
      <c r="N76" s="53">
        <v>7.2809999999999997</v>
      </c>
      <c r="O76" s="53">
        <v>4.4580000000000002</v>
      </c>
      <c r="P76" s="53">
        <v>3.7</v>
      </c>
      <c r="Q76" s="53">
        <v>3.6120000000000001</v>
      </c>
      <c r="R76" s="53"/>
      <c r="S76" s="53">
        <v>74</v>
      </c>
      <c r="T76" s="53">
        <v>3</v>
      </c>
      <c r="V76">
        <v>321</v>
      </c>
      <c r="AM76">
        <f>16765.5</f>
        <v>16765.5</v>
      </c>
    </row>
    <row r="77" spans="1:39" x14ac:dyDescent="0.2">
      <c r="A77" s="53"/>
      <c r="B77" s="53">
        <v>4.9939999999999998</v>
      </c>
      <c r="C77" s="53">
        <v>4.8869999999999996</v>
      </c>
      <c r="D77" s="53">
        <v>5.298</v>
      </c>
      <c r="E77" s="53">
        <v>5.1319999999999997</v>
      </c>
      <c r="F77" s="53">
        <v>4.7089999999999996</v>
      </c>
      <c r="G77" s="53">
        <v>3.4670000000000001</v>
      </c>
      <c r="H77" s="53">
        <v>3.657</v>
      </c>
      <c r="I77" s="53">
        <v>3.9780000000000002</v>
      </c>
      <c r="J77" s="53">
        <v>3.3239999999999998</v>
      </c>
      <c r="K77" s="53">
        <v>3.0249999999999999</v>
      </c>
      <c r="L77" s="53">
        <v>3.274</v>
      </c>
      <c r="M77" s="53">
        <v>3.073</v>
      </c>
      <c r="N77" s="53">
        <v>3.11</v>
      </c>
      <c r="O77" s="53">
        <v>3.0339999999999998</v>
      </c>
      <c r="P77" s="53">
        <v>2.5169999999999999</v>
      </c>
      <c r="Q77" s="53">
        <v>2.762</v>
      </c>
      <c r="R77" s="53"/>
      <c r="S77" s="53">
        <v>75</v>
      </c>
      <c r="T77" s="53">
        <v>3</v>
      </c>
      <c r="V77">
        <v>322</v>
      </c>
      <c r="AM77">
        <v>52449.2</v>
      </c>
    </row>
    <row r="78" spans="1:39" x14ac:dyDescent="0.2">
      <c r="A78" s="53" t="s">
        <v>0</v>
      </c>
      <c r="B78" s="53"/>
      <c r="C78" s="53"/>
      <c r="D78" s="53"/>
      <c r="E78" s="53"/>
      <c r="F78" s="53"/>
      <c r="G78" s="53"/>
      <c r="H78" s="53"/>
      <c r="I78" s="53"/>
      <c r="J78" s="53"/>
      <c r="K78" s="53"/>
      <c r="L78" s="53"/>
      <c r="M78" s="53"/>
      <c r="N78" s="53"/>
      <c r="O78" s="53"/>
      <c r="P78" s="53"/>
      <c r="Q78" s="53"/>
      <c r="R78" s="53"/>
      <c r="S78" s="53"/>
      <c r="T78" s="53"/>
      <c r="V78">
        <v>323</v>
      </c>
      <c r="AM78">
        <v>12382.5</v>
      </c>
    </row>
    <row r="79" spans="1:39" x14ac:dyDescent="0.2">
      <c r="A79" s="53"/>
      <c r="B79" s="53">
        <f>SUM(B10:B78)</f>
        <v>13281.324000000002</v>
      </c>
      <c r="C79" s="53">
        <f t="shared" ref="C79:Q79" si="13">SUM(C10:C78)</f>
        <v>13286.449000000004</v>
      </c>
      <c r="D79" s="53">
        <f t="shared" si="13"/>
        <v>13416.950000000003</v>
      </c>
      <c r="E79" s="53">
        <f t="shared" si="13"/>
        <v>13267.744999999997</v>
      </c>
      <c r="F79" s="53">
        <f t="shared" si="13"/>
        <v>12059.355</v>
      </c>
      <c r="G79" s="53">
        <f t="shared" si="13"/>
        <v>11293.696000000002</v>
      </c>
      <c r="H79" s="53">
        <f t="shared" si="13"/>
        <v>9888.7149999999983</v>
      </c>
      <c r="I79" s="53">
        <f t="shared" si="13"/>
        <v>10394.641</v>
      </c>
      <c r="J79" s="53">
        <f t="shared" si="13"/>
        <v>10525.198</v>
      </c>
      <c r="K79" s="53">
        <f t="shared" si="13"/>
        <v>9675.3239999999987</v>
      </c>
      <c r="L79" s="53">
        <f t="shared" si="13"/>
        <v>9203.9930000000022</v>
      </c>
      <c r="M79" s="53">
        <f t="shared" si="13"/>
        <v>8878.1190000000024</v>
      </c>
      <c r="N79" s="53">
        <f t="shared" si="13"/>
        <v>9150.4170000000031</v>
      </c>
      <c r="O79" s="53">
        <f t="shared" si="13"/>
        <v>9359.5510000000013</v>
      </c>
      <c r="P79" s="53">
        <f t="shared" si="13"/>
        <v>9533.4190999999992</v>
      </c>
      <c r="Q79" s="53">
        <f t="shared" si="13"/>
        <v>9190.1811999999991</v>
      </c>
      <c r="R79" s="53"/>
      <c r="S79" s="53"/>
      <c r="T79" s="53"/>
      <c r="V79">
        <v>324</v>
      </c>
      <c r="AM79">
        <v>35134</v>
      </c>
    </row>
    <row r="80" spans="1:39" x14ac:dyDescent="0.2">
      <c r="A80" s="53"/>
      <c r="B80" s="53">
        <f>B79/3.412*1000</f>
        <v>3892533.4114888636</v>
      </c>
      <c r="C80" s="53">
        <f t="shared" ref="C80:Q80" si="14">C79/3.412*1000</f>
        <v>3894035.4630715139</v>
      </c>
      <c r="D80" s="53">
        <f t="shared" si="14"/>
        <v>3932283.118405628</v>
      </c>
      <c r="E80" s="53">
        <f t="shared" si="14"/>
        <v>3888553.6342321211</v>
      </c>
      <c r="F80" s="53">
        <f t="shared" si="14"/>
        <v>3534394.7831184054</v>
      </c>
      <c r="G80" s="53">
        <f t="shared" si="14"/>
        <v>3309992.9660023456</v>
      </c>
      <c r="H80" s="53">
        <f t="shared" si="14"/>
        <v>2898216.5885111368</v>
      </c>
      <c r="I80" s="53">
        <f t="shared" si="14"/>
        <v>3046495.017584994</v>
      </c>
      <c r="J80" s="53">
        <f t="shared" si="14"/>
        <v>3084759.0855803052</v>
      </c>
      <c r="K80" s="53">
        <f t="shared" si="14"/>
        <v>2835675.2637749119</v>
      </c>
      <c r="L80" s="53">
        <f t="shared" si="14"/>
        <v>2697536.0492379842</v>
      </c>
      <c r="M80" s="53">
        <f t="shared" si="14"/>
        <v>2602027.8429073864</v>
      </c>
      <c r="N80" s="53">
        <f t="shared" si="14"/>
        <v>2681833.8218053938</v>
      </c>
      <c r="O80" s="53">
        <f t="shared" si="14"/>
        <v>2743127.4912075032</v>
      </c>
      <c r="P80" s="53">
        <f t="shared" si="14"/>
        <v>2794085.3165298947</v>
      </c>
      <c r="Q80" s="53">
        <f t="shared" si="14"/>
        <v>2693488.0422039856</v>
      </c>
      <c r="R80" s="53"/>
      <c r="S80" s="53"/>
      <c r="T80" s="53"/>
      <c r="V80">
        <v>325</v>
      </c>
      <c r="AM80">
        <v>125862.5</v>
      </c>
    </row>
    <row r="81" spans="1:41" x14ac:dyDescent="0.2">
      <c r="A81" s="53"/>
      <c r="B81" s="53"/>
      <c r="C81" s="53"/>
      <c r="D81" s="53"/>
      <c r="E81" s="53"/>
      <c r="F81" s="53"/>
      <c r="G81" s="53"/>
      <c r="H81" s="53"/>
      <c r="I81" s="53"/>
      <c r="J81" s="53"/>
      <c r="K81" s="53"/>
      <c r="L81" s="53"/>
      <c r="M81" s="53"/>
      <c r="N81" s="53"/>
      <c r="O81" s="53"/>
      <c r="P81" s="53"/>
      <c r="Q81" s="53"/>
      <c r="R81" s="53"/>
      <c r="S81" s="53"/>
      <c r="T81" s="53"/>
      <c r="V81">
        <v>326</v>
      </c>
      <c r="AM81">
        <v>30102.5</v>
      </c>
    </row>
    <row r="82" spans="1:41" x14ac:dyDescent="0.2">
      <c r="V82">
        <v>327</v>
      </c>
      <c r="AK82">
        <v>24833.599999999999</v>
      </c>
      <c r="AL82">
        <v>30043.1</v>
      </c>
      <c r="AM82">
        <v>30516.799999999999</v>
      </c>
      <c r="AO82">
        <v>33311.5</v>
      </c>
    </row>
    <row r="83" spans="1:41" x14ac:dyDescent="0.2">
      <c r="V83">
        <v>331</v>
      </c>
      <c r="AM83">
        <v>133152.1</v>
      </c>
    </row>
    <row r="84" spans="1:41" x14ac:dyDescent="0.2">
      <c r="V84">
        <v>332</v>
      </c>
      <c r="AM84">
        <v>27974.1</v>
      </c>
    </row>
    <row r="85" spans="1:41" x14ac:dyDescent="0.2">
      <c r="V85">
        <v>333</v>
      </c>
      <c r="AM85">
        <v>30273.8</v>
      </c>
    </row>
    <row r="86" spans="1:41" x14ac:dyDescent="0.2">
      <c r="V86">
        <v>334</v>
      </c>
      <c r="AM86">
        <v>7329.9</v>
      </c>
    </row>
    <row r="87" spans="1:41" x14ac:dyDescent="0.2">
      <c r="V87">
        <v>335</v>
      </c>
      <c r="AM87">
        <v>32823</v>
      </c>
    </row>
    <row r="88" spans="1:41" x14ac:dyDescent="0.2">
      <c r="V88">
        <v>336</v>
      </c>
      <c r="AM88">
        <v>34536.5</v>
      </c>
    </row>
    <row r="89" spans="1:41" x14ac:dyDescent="0.2">
      <c r="V89">
        <v>337</v>
      </c>
      <c r="AM89">
        <v>4475.2</v>
      </c>
    </row>
    <row r="90" spans="1:41" x14ac:dyDescent="0.2">
      <c r="V90">
        <v>339</v>
      </c>
      <c r="AM90">
        <v>3485.8</v>
      </c>
    </row>
    <row r="92" spans="1:41" x14ac:dyDescent="0.2">
      <c r="AM92">
        <f>SUM(AM73:AM90)</f>
        <v>656740.4</v>
      </c>
    </row>
    <row r="93" spans="1:41" x14ac:dyDescent="0.2">
      <c r="AM93">
        <f>SUM(AM84:AM90)</f>
        <v>140898.29999999999</v>
      </c>
    </row>
    <row r="95" spans="1:41" x14ac:dyDescent="0.2">
      <c r="X95">
        <f>X2</f>
        <v>1970</v>
      </c>
      <c r="Y95">
        <f t="shared" ref="Y95:AE95" si="15">Y2</f>
        <v>1971</v>
      </c>
      <c r="Z95">
        <f t="shared" si="15"/>
        <v>1972</v>
      </c>
      <c r="AA95">
        <f t="shared" si="15"/>
        <v>1973</v>
      </c>
      <c r="AB95">
        <f t="shared" si="15"/>
        <v>1974</v>
      </c>
      <c r="AC95">
        <f t="shared" si="15"/>
        <v>1975</v>
      </c>
      <c r="AD95">
        <f t="shared" si="15"/>
        <v>1976</v>
      </c>
      <c r="AE95">
        <f t="shared" si="15"/>
        <v>1977</v>
      </c>
      <c r="AF95">
        <v>1978</v>
      </c>
      <c r="AG95">
        <f>AG2</f>
        <v>1979</v>
      </c>
      <c r="AH95">
        <f t="shared" ref="AH95:AO95" si="16">AH2</f>
        <v>1980</v>
      </c>
      <c r="AI95">
        <f t="shared" si="16"/>
        <v>1981</v>
      </c>
      <c r="AJ95">
        <f t="shared" si="16"/>
        <v>1982</v>
      </c>
      <c r="AK95">
        <f t="shared" si="16"/>
        <v>1983</v>
      </c>
      <c r="AL95">
        <f t="shared" si="16"/>
        <v>1984</v>
      </c>
      <c r="AM95">
        <f t="shared" si="16"/>
        <v>1985</v>
      </c>
      <c r="AN95">
        <f t="shared" si="16"/>
        <v>1986</v>
      </c>
      <c r="AO95">
        <f t="shared" si="16"/>
        <v>1987</v>
      </c>
    </row>
    <row r="96" spans="1:41" x14ac:dyDescent="0.2">
      <c r="W96" t="s">
        <v>29</v>
      </c>
    </row>
    <row r="97" spans="23:41" x14ac:dyDescent="0.2">
      <c r="W97" t="s">
        <v>9</v>
      </c>
      <c r="Y97" s="52" t="s">
        <v>251</v>
      </c>
    </row>
    <row r="98" spans="23:41" x14ac:dyDescent="0.2">
      <c r="W98">
        <v>2711</v>
      </c>
      <c r="X98">
        <v>8.6999999999999993</v>
      </c>
      <c r="Y98">
        <v>9.6999999999999993</v>
      </c>
      <c r="AK98">
        <v>45</v>
      </c>
      <c r="AL98">
        <v>51</v>
      </c>
      <c r="AM98">
        <v>47.2</v>
      </c>
    </row>
    <row r="99" spans="23:41" x14ac:dyDescent="0.2">
      <c r="W99">
        <v>2721</v>
      </c>
      <c r="X99">
        <v>1.7</v>
      </c>
      <c r="Y99">
        <v>1.2</v>
      </c>
      <c r="AK99">
        <v>18</v>
      </c>
      <c r="AL99">
        <v>9</v>
      </c>
      <c r="AM99">
        <v>8.8000000000000007</v>
      </c>
    </row>
    <row r="100" spans="23:41" x14ac:dyDescent="0.2">
      <c r="W100">
        <v>2731</v>
      </c>
      <c r="X100">
        <v>4.7</v>
      </c>
      <c r="Y100">
        <v>4.0999999999999996</v>
      </c>
      <c r="AK100">
        <v>22.2</v>
      </c>
      <c r="AL100">
        <v>28.1</v>
      </c>
      <c r="AM100">
        <v>28.5</v>
      </c>
    </row>
    <row r="101" spans="23:41" x14ac:dyDescent="0.2">
      <c r="W101" t="s">
        <v>4</v>
      </c>
      <c r="X101">
        <f>SUM(X98:X100)</f>
        <v>15.099999999999998</v>
      </c>
      <c r="Y101">
        <f>SUM(Y98:Y100)</f>
        <v>14.999999999999998</v>
      </c>
      <c r="AK101">
        <f>SUM(AK98:AK100)</f>
        <v>85.2</v>
      </c>
      <c r="AL101">
        <f>SUM(AL98:AL100)</f>
        <v>88.1</v>
      </c>
      <c r="AM101">
        <f>SUM(AM98:AM100)</f>
        <v>84.5</v>
      </c>
    </row>
    <row r="102" spans="23:41" x14ac:dyDescent="0.2">
      <c r="W102" s="52" t="s">
        <v>250</v>
      </c>
      <c r="X102">
        <v>46.3</v>
      </c>
      <c r="Y102">
        <v>46</v>
      </c>
      <c r="AK102">
        <v>266.5</v>
      </c>
      <c r="AL102" s="52">
        <v>313</v>
      </c>
      <c r="AM102">
        <v>288</v>
      </c>
    </row>
    <row r="103" spans="23:41" x14ac:dyDescent="0.2">
      <c r="W103" t="s">
        <v>5</v>
      </c>
      <c r="X103">
        <f>X8</f>
        <v>60.798999999999999</v>
      </c>
      <c r="Y103">
        <f>Y8</f>
        <v>58.165999999999997</v>
      </c>
      <c r="Z103">
        <f t="shared" ref="Z103:AJ103" si="17">Z8</f>
        <v>56.883000000000003</v>
      </c>
      <c r="AA103">
        <f t="shared" si="17"/>
        <v>53.048000000000002</v>
      </c>
      <c r="AB103">
        <f t="shared" si="17"/>
        <v>43.956000000000003</v>
      </c>
      <c r="AC103">
        <f t="shared" si="17"/>
        <v>47.404000000000003</v>
      </c>
      <c r="AD103">
        <f t="shared" si="17"/>
        <v>38.405999999999999</v>
      </c>
      <c r="AE103">
        <f t="shared" si="17"/>
        <v>46.491999999999997</v>
      </c>
      <c r="AF103">
        <f t="shared" si="17"/>
        <v>46.761000000000003</v>
      </c>
      <c r="AG103">
        <f t="shared" si="17"/>
        <v>51.27</v>
      </c>
      <c r="AH103">
        <f t="shared" si="17"/>
        <v>49.938000000000002</v>
      </c>
      <c r="AI103">
        <f t="shared" si="17"/>
        <v>49.947000000000003</v>
      </c>
      <c r="AJ103">
        <f t="shared" si="17"/>
        <v>52.484999999999999</v>
      </c>
      <c r="AK103">
        <f>AK8</f>
        <v>55.146999999999998</v>
      </c>
      <c r="AL103">
        <f>AL8</f>
        <v>60.213000000000001</v>
      </c>
      <c r="AM103">
        <f>AM8</f>
        <v>51.106999999999999</v>
      </c>
      <c r="AN103">
        <f>AN8</f>
        <v>58.24</v>
      </c>
      <c r="AO103">
        <f>AO8</f>
        <v>66.930000000000007</v>
      </c>
    </row>
    <row r="104" spans="23:41" x14ac:dyDescent="0.2">
      <c r="W104" t="s">
        <v>6</v>
      </c>
      <c r="X104">
        <f>X101/X102</f>
        <v>0.326133909287257</v>
      </c>
      <c r="Y104">
        <f>Y101/Y102</f>
        <v>0.32608695652173908</v>
      </c>
      <c r="Z104" s="56">
        <v>0.32</v>
      </c>
      <c r="AA104" s="56">
        <v>0.32</v>
      </c>
      <c r="AB104" s="56">
        <v>0.32</v>
      </c>
      <c r="AC104" s="56">
        <v>0.32</v>
      </c>
      <c r="AD104" s="56">
        <v>0.32</v>
      </c>
      <c r="AE104" s="56">
        <v>0.32</v>
      </c>
      <c r="AF104" s="56">
        <v>0.32</v>
      </c>
      <c r="AG104" s="56">
        <v>0.32</v>
      </c>
      <c r="AH104" s="56">
        <v>0.32</v>
      </c>
      <c r="AI104" s="56">
        <v>0.32</v>
      </c>
      <c r="AJ104" s="56">
        <v>0.32</v>
      </c>
      <c r="AK104">
        <f>AK101/AK102</f>
        <v>0.3196998123827392</v>
      </c>
      <c r="AL104">
        <f>AL101/AL102</f>
        <v>0.28146964856230028</v>
      </c>
      <c r="AM104">
        <f>AM101/AM102</f>
        <v>0.29340277777777779</v>
      </c>
      <c r="AN104" t="e">
        <f>AN101/AN102</f>
        <v>#DIV/0!</v>
      </c>
      <c r="AO104" t="e">
        <f>AO101/AO102</f>
        <v>#DIV/0!</v>
      </c>
    </row>
    <row r="105" spans="23:41" x14ac:dyDescent="0.2">
      <c r="X105">
        <f>X103*X104</f>
        <v>19.828615550755938</v>
      </c>
      <c r="Y105">
        <f>Y103*Y104</f>
        <v>18.967173913043474</v>
      </c>
      <c r="Z105">
        <f t="shared" ref="Z105:AJ105" si="18">Z103*Z104</f>
        <v>18.202560000000002</v>
      </c>
      <c r="AA105">
        <f t="shared" si="18"/>
        <v>16.975360000000002</v>
      </c>
      <c r="AB105">
        <f t="shared" si="18"/>
        <v>14.065920000000002</v>
      </c>
      <c r="AC105">
        <f t="shared" si="18"/>
        <v>15.169280000000001</v>
      </c>
      <c r="AD105">
        <f t="shared" si="18"/>
        <v>12.28992</v>
      </c>
      <c r="AE105">
        <f t="shared" si="18"/>
        <v>14.87744</v>
      </c>
      <c r="AF105">
        <f t="shared" si="18"/>
        <v>14.963520000000001</v>
      </c>
      <c r="AG105">
        <f t="shared" si="18"/>
        <v>16.406400000000001</v>
      </c>
      <c r="AH105">
        <f t="shared" si="18"/>
        <v>15.980160000000001</v>
      </c>
      <c r="AI105">
        <f t="shared" si="18"/>
        <v>15.983040000000001</v>
      </c>
      <c r="AJ105">
        <f t="shared" si="18"/>
        <v>16.795200000000001</v>
      </c>
      <c r="AK105">
        <f>AK103*AK104</f>
        <v>17.630485553470919</v>
      </c>
      <c r="AL105">
        <f>AL103*AL104</f>
        <v>16.948131948881787</v>
      </c>
      <c r="AM105">
        <f>AM103*AM104</f>
        <v>14.99493576388889</v>
      </c>
      <c r="AN105" t="e">
        <f>AN103*AN104</f>
        <v>#DIV/0!</v>
      </c>
      <c r="AO105" t="e">
        <f>AO103*AO104</f>
        <v>#DIV/0!</v>
      </c>
    </row>
    <row r="106" spans="23:41" x14ac:dyDescent="0.2">
      <c r="W106" t="s">
        <v>7</v>
      </c>
      <c r="X106">
        <f>X8-X105</f>
        <v>40.970384449244065</v>
      </c>
      <c r="Y106">
        <f>Y8-Y105</f>
        <v>39.198826086956522</v>
      </c>
      <c r="Z106">
        <f t="shared" ref="Z106:AJ106" si="19">Z8-Z105</f>
        <v>38.680440000000004</v>
      </c>
      <c r="AA106">
        <f t="shared" si="19"/>
        <v>36.07264</v>
      </c>
      <c r="AB106">
        <f t="shared" si="19"/>
        <v>29.890080000000001</v>
      </c>
      <c r="AC106">
        <f t="shared" si="19"/>
        <v>32.234720000000003</v>
      </c>
      <c r="AD106">
        <f t="shared" si="19"/>
        <v>26.116079999999997</v>
      </c>
      <c r="AE106">
        <f t="shared" si="19"/>
        <v>31.614559999999997</v>
      </c>
      <c r="AF106">
        <f t="shared" si="19"/>
        <v>31.79748</v>
      </c>
      <c r="AG106">
        <f t="shared" si="19"/>
        <v>34.863600000000005</v>
      </c>
      <c r="AH106">
        <f t="shared" si="19"/>
        <v>33.957840000000004</v>
      </c>
      <c r="AI106">
        <f t="shared" si="19"/>
        <v>33.96396</v>
      </c>
      <c r="AJ106">
        <f t="shared" si="19"/>
        <v>35.689799999999998</v>
      </c>
      <c r="AK106">
        <f>AK8-AK105</f>
        <v>37.516514446529079</v>
      </c>
      <c r="AL106">
        <f>AL8-AL105</f>
        <v>43.264868051118214</v>
      </c>
      <c r="AM106">
        <f>AM8-AM105</f>
        <v>36.112064236111109</v>
      </c>
      <c r="AN106" t="e">
        <f>AN8-AN105</f>
        <v>#DIV/0!</v>
      </c>
      <c r="AO106" t="e">
        <f>AO8-AO105</f>
        <v>#DIV/0!</v>
      </c>
    </row>
    <row r="108" spans="23:41" x14ac:dyDescent="0.2">
      <c r="AE108">
        <f t="shared" ref="AE108:AN108" si="20">AE2</f>
        <v>1977</v>
      </c>
      <c r="AF108">
        <f t="shared" si="20"/>
        <v>1978</v>
      </c>
      <c r="AG108">
        <f t="shared" si="20"/>
        <v>1979</v>
      </c>
      <c r="AH108">
        <f t="shared" si="20"/>
        <v>1980</v>
      </c>
      <c r="AI108">
        <f t="shared" si="20"/>
        <v>1981</v>
      </c>
      <c r="AJ108">
        <f t="shared" si="20"/>
        <v>1982</v>
      </c>
      <c r="AK108">
        <f t="shared" si="20"/>
        <v>1983</v>
      </c>
      <c r="AL108">
        <f t="shared" si="20"/>
        <v>1984</v>
      </c>
      <c r="AM108">
        <f t="shared" si="20"/>
        <v>1985</v>
      </c>
      <c r="AN108">
        <f t="shared" si="20"/>
        <v>1986</v>
      </c>
      <c r="AO108">
        <v>1987</v>
      </c>
    </row>
    <row r="109" spans="23:41" x14ac:dyDescent="0.2">
      <c r="W109" s="2" t="s">
        <v>8</v>
      </c>
      <c r="X109" s="2"/>
      <c r="Y109" s="2"/>
      <c r="Z109" s="2"/>
      <c r="AA109" s="2"/>
      <c r="AB109" s="2"/>
      <c r="AC109" s="2"/>
      <c r="AD109" s="2"/>
    </row>
    <row r="110" spans="23:41" x14ac:dyDescent="0.2">
      <c r="W110">
        <v>384</v>
      </c>
      <c r="X110">
        <v>695.4</v>
      </c>
      <c r="Y110">
        <v>767.6</v>
      </c>
      <c r="AE110">
        <v>1166.2</v>
      </c>
      <c r="AF110" s="3">
        <f>0.67*AE110+0.33*AH110</f>
        <v>1216.8879999999999</v>
      </c>
      <c r="AG110" s="3">
        <f>0.33*AE110+0.67*AH110</f>
        <v>1269.1120000000001</v>
      </c>
      <c r="AH110">
        <v>1319.8</v>
      </c>
      <c r="AI110">
        <v>1372.7</v>
      </c>
      <c r="AJ110">
        <v>1476.9</v>
      </c>
      <c r="AK110">
        <v>1592.8</v>
      </c>
      <c r="AL110">
        <v>1720</v>
      </c>
      <c r="AM110">
        <v>1793.5</v>
      </c>
      <c r="AN110">
        <v>1906.6</v>
      </c>
      <c r="AO110">
        <f>1093.5+985.1+135.3</f>
        <v>2213.9</v>
      </c>
    </row>
    <row r="111" spans="23:41" x14ac:dyDescent="0.2">
      <c r="W111">
        <v>385</v>
      </c>
      <c r="X111">
        <v>182.9</v>
      </c>
      <c r="Y111">
        <v>198.8</v>
      </c>
      <c r="AE111">
        <v>268.89999999999998</v>
      </c>
      <c r="AF111" s="3">
        <f>0.67*AE111+0.33*AH111</f>
        <v>266.887</v>
      </c>
      <c r="AG111" s="3">
        <f>0.33*AE111+0.67*AH111</f>
        <v>264.81299999999999</v>
      </c>
      <c r="AH111">
        <v>262.8</v>
      </c>
      <c r="AI111">
        <v>255.5</v>
      </c>
      <c r="AJ111">
        <v>263.3</v>
      </c>
      <c r="AK111">
        <v>235.9</v>
      </c>
      <c r="AL111">
        <v>297.5</v>
      </c>
      <c r="AM111">
        <v>272.2</v>
      </c>
      <c r="AN111">
        <v>281</v>
      </c>
      <c r="AO111">
        <v>287.39999999999998</v>
      </c>
    </row>
    <row r="112" spans="23:41" x14ac:dyDescent="0.2">
      <c r="AE112">
        <f>SUM(AE110:AE111)</f>
        <v>1435.1</v>
      </c>
      <c r="AF112">
        <f t="shared" ref="AF112:AO112" si="21">SUM(AF110:AF111)</f>
        <v>1483.7749999999999</v>
      </c>
      <c r="AG112">
        <f t="shared" si="21"/>
        <v>1533.9250000000002</v>
      </c>
      <c r="AH112">
        <f t="shared" si="21"/>
        <v>1582.6</v>
      </c>
      <c r="AI112">
        <f t="shared" si="21"/>
        <v>1628.2</v>
      </c>
      <c r="AJ112">
        <f t="shared" si="21"/>
        <v>1740.2</v>
      </c>
      <c r="AK112">
        <f t="shared" si="21"/>
        <v>1828.7</v>
      </c>
      <c r="AL112">
        <f t="shared" si="21"/>
        <v>2017.5</v>
      </c>
      <c r="AM112">
        <f t="shared" si="21"/>
        <v>2065.6999999999998</v>
      </c>
      <c r="AN112">
        <f t="shared" si="21"/>
        <v>2187.6</v>
      </c>
      <c r="AO112">
        <f t="shared" si="21"/>
        <v>2501.3000000000002</v>
      </c>
    </row>
    <row r="113" spans="18:51" x14ac:dyDescent="0.2">
      <c r="AE113" s="5">
        <f>3.412*AE112*0.001</f>
        <v>4.8965611999999989</v>
      </c>
      <c r="AF113" s="5">
        <f t="shared" ref="AF113:AO113" si="22">3.412*AF112*0.001</f>
        <v>5.0626402999999991</v>
      </c>
      <c r="AG113" s="5">
        <f t="shared" si="22"/>
        <v>5.2337521000000011</v>
      </c>
      <c r="AH113" s="5">
        <f t="shared" si="22"/>
        <v>5.3998311999999995</v>
      </c>
      <c r="AI113" s="5">
        <f t="shared" si="22"/>
        <v>5.5554184000000006</v>
      </c>
      <c r="AJ113" s="5">
        <f t="shared" si="22"/>
        <v>5.9375624</v>
      </c>
      <c r="AK113" s="5">
        <f t="shared" si="22"/>
        <v>6.2395244000000005</v>
      </c>
      <c r="AL113" s="5">
        <f t="shared" si="22"/>
        <v>6.8837099999999998</v>
      </c>
      <c r="AM113" s="5">
        <f t="shared" si="22"/>
        <v>7.0481683999999998</v>
      </c>
      <c r="AN113" s="5">
        <f t="shared" si="22"/>
        <v>7.4640912000000004</v>
      </c>
      <c r="AO113" s="5">
        <f t="shared" si="22"/>
        <v>8.5344356000000001</v>
      </c>
    </row>
    <row r="114" spans="18:51" x14ac:dyDescent="0.2">
      <c r="R114" s="65" t="s">
        <v>255</v>
      </c>
      <c r="W114" t="s">
        <v>10</v>
      </c>
      <c r="AE114" s="5">
        <f t="shared" ref="AE114:AO114" si="23">AE39-AE113</f>
        <v>72.675438800000009</v>
      </c>
      <c r="AF114" s="5">
        <f t="shared" si="23"/>
        <v>78.096359699999994</v>
      </c>
      <c r="AG114" s="5">
        <f t="shared" si="23"/>
        <v>72.844247899999999</v>
      </c>
      <c r="AH114" s="5">
        <f t="shared" si="23"/>
        <v>72.277168799999998</v>
      </c>
      <c r="AI114" s="5">
        <f t="shared" si="23"/>
        <v>68.734581600000013</v>
      </c>
      <c r="AJ114" s="5">
        <f t="shared" si="23"/>
        <v>77.012437599999998</v>
      </c>
      <c r="AK114" s="5">
        <f t="shared" si="23"/>
        <v>78.075475600000004</v>
      </c>
      <c r="AL114" s="5">
        <f t="shared" si="23"/>
        <v>78.33429000000001</v>
      </c>
      <c r="AM114" s="5">
        <f t="shared" si="23"/>
        <v>75.152831599999999</v>
      </c>
      <c r="AN114" s="5">
        <f t="shared" si="23"/>
        <v>76.735908800000004</v>
      </c>
      <c r="AO114" s="5">
        <f t="shared" si="23"/>
        <v>74.255564400000011</v>
      </c>
    </row>
    <row r="115" spans="18:51" x14ac:dyDescent="0.2">
      <c r="R115" s="64"/>
      <c r="W115" t="s">
        <v>11</v>
      </c>
      <c r="AE115" s="5">
        <f t="shared" ref="AE115:AO115" si="24">AE43+AE113</f>
        <v>35.608561199999997</v>
      </c>
      <c r="AF115" s="5">
        <f t="shared" si="24"/>
        <v>37.2356403</v>
      </c>
      <c r="AG115" s="5">
        <f t="shared" si="24"/>
        <v>36.170752100000001</v>
      </c>
      <c r="AH115" s="5">
        <f t="shared" si="24"/>
        <v>34.477831199999997</v>
      </c>
      <c r="AI115" s="5">
        <f t="shared" si="24"/>
        <v>32.277418400000002</v>
      </c>
      <c r="AJ115" s="5">
        <f t="shared" si="24"/>
        <v>28.9135624</v>
      </c>
      <c r="AK115" s="5">
        <f t="shared" si="24"/>
        <v>31.048524400000002</v>
      </c>
      <c r="AL115" s="5">
        <f t="shared" si="24"/>
        <v>31.26371</v>
      </c>
      <c r="AM115" s="5">
        <f t="shared" si="24"/>
        <v>27.728168400000001</v>
      </c>
      <c r="AN115" s="5">
        <f t="shared" si="24"/>
        <v>31.104091199999999</v>
      </c>
      <c r="AO115" s="5">
        <f t="shared" si="24"/>
        <v>35.414435599999997</v>
      </c>
    </row>
    <row r="116" spans="18:51" x14ac:dyDescent="0.2">
      <c r="R116" s="64"/>
    </row>
    <row r="117" spans="18:51" x14ac:dyDescent="0.2">
      <c r="R117" s="64"/>
      <c r="W117" t="s">
        <v>15</v>
      </c>
    </row>
    <row r="118" spans="18:51" x14ac:dyDescent="0.2">
      <c r="R118" s="64"/>
      <c r="T118" s="52" t="s">
        <v>239</v>
      </c>
      <c r="W118">
        <v>3465</v>
      </c>
      <c r="X118">
        <v>3762.9</v>
      </c>
      <c r="Y118">
        <v>3892.6</v>
      </c>
      <c r="AE118">
        <v>2996.1</v>
      </c>
      <c r="AF118" s="3">
        <f>0.67*AE118+0.33*AH118</f>
        <v>2833.6080000000002</v>
      </c>
      <c r="AG118" s="3">
        <f>0.33*AE118+0.67*AH118</f>
        <v>2666.192</v>
      </c>
      <c r="AH118">
        <v>2503.6999999999998</v>
      </c>
      <c r="AI118">
        <v>2453.4</v>
      </c>
      <c r="AJ118">
        <v>2427.5</v>
      </c>
      <c r="AK118">
        <v>2781.7</v>
      </c>
      <c r="AL118">
        <v>5457</v>
      </c>
      <c r="AM118">
        <v>2967</v>
      </c>
      <c r="AN118">
        <v>3010.6</v>
      </c>
      <c r="AO118">
        <v>3454.6</v>
      </c>
    </row>
    <row r="119" spans="18:51" x14ac:dyDescent="0.2">
      <c r="R119" s="64"/>
      <c r="T119" s="52" t="s">
        <v>242</v>
      </c>
      <c r="AE119" s="5">
        <f t="shared" ref="AE119:AO119" si="25">3.412*AE118*0.001</f>
        <v>10.2226932</v>
      </c>
      <c r="AF119" s="5">
        <f t="shared" si="25"/>
        <v>9.6682704960000017</v>
      </c>
      <c r="AG119" s="5">
        <f t="shared" si="25"/>
        <v>9.0970471039999996</v>
      </c>
      <c r="AH119" s="5">
        <f t="shared" si="25"/>
        <v>8.5426243999999993</v>
      </c>
      <c r="AI119" s="5">
        <f t="shared" si="25"/>
        <v>8.3710007999999991</v>
      </c>
      <c r="AJ119" s="5">
        <f t="shared" si="25"/>
        <v>8.2826299999999993</v>
      </c>
      <c r="AK119" s="5">
        <f t="shared" si="25"/>
        <v>9.4911603999999983</v>
      </c>
      <c r="AL119" s="5">
        <f t="shared" si="25"/>
        <v>18.619284</v>
      </c>
      <c r="AM119" s="5">
        <f t="shared" si="25"/>
        <v>10.123404000000001</v>
      </c>
      <c r="AN119" s="5">
        <f t="shared" si="25"/>
        <v>10.2721672</v>
      </c>
      <c r="AO119" s="5">
        <f t="shared" si="25"/>
        <v>11.7870952</v>
      </c>
    </row>
    <row r="120" spans="18:51" x14ac:dyDescent="0.2">
      <c r="R120" s="64"/>
      <c r="W120" t="s">
        <v>19</v>
      </c>
      <c r="AE120" s="5">
        <f t="shared" ref="AE120:AO120" si="26">AE37-AE119</f>
        <v>273.42530680000004</v>
      </c>
      <c r="AF120" s="5">
        <f t="shared" si="26"/>
        <v>283.77372950400002</v>
      </c>
      <c r="AG120" s="5">
        <f t="shared" si="26"/>
        <v>274.45295289599994</v>
      </c>
      <c r="AH120" s="5">
        <f t="shared" si="26"/>
        <v>254.79737560000004</v>
      </c>
      <c r="AI120" s="5">
        <f t="shared" si="26"/>
        <v>245.30699920000001</v>
      </c>
      <c r="AJ120" s="5">
        <f t="shared" si="26"/>
        <v>242.08237</v>
      </c>
      <c r="AK120" s="5">
        <f t="shared" si="26"/>
        <v>241.10883960000001</v>
      </c>
      <c r="AL120" s="5">
        <f t="shared" si="26"/>
        <v>231.55071600000002</v>
      </c>
      <c r="AM120" s="5">
        <f t="shared" si="26"/>
        <v>207.81759600000004</v>
      </c>
      <c r="AN120" s="5">
        <f t="shared" si="26"/>
        <v>226.57883280000001</v>
      </c>
      <c r="AO120" s="5">
        <f t="shared" si="26"/>
        <v>264.57890479999998</v>
      </c>
    </row>
    <row r="121" spans="18:51" x14ac:dyDescent="0.2">
      <c r="R121" s="64"/>
      <c r="V121" s="2" t="s">
        <v>12</v>
      </c>
      <c r="AE121" s="5"/>
      <c r="AF121" s="5"/>
      <c r="AG121" s="5"/>
      <c r="AH121" s="5"/>
      <c r="AI121" s="5"/>
      <c r="AJ121" s="5"/>
      <c r="AK121" s="5"/>
      <c r="AL121" s="5"/>
      <c r="AM121" s="5"/>
      <c r="AN121" s="5"/>
      <c r="AO121" s="5"/>
      <c r="AQ121" s="5">
        <f>38291*3.412*0.001</f>
        <v>130.64889199999999</v>
      </c>
      <c r="AR121" t="s">
        <v>18</v>
      </c>
    </row>
    <row r="122" spans="18:51" x14ac:dyDescent="0.2">
      <c r="R122" s="64"/>
      <c r="V122" s="2" t="s">
        <v>13</v>
      </c>
      <c r="AX122">
        <f>52449.2*3.412*0.001</f>
        <v>178.95667039999998</v>
      </c>
      <c r="AY122" t="e">
        <f>#REF!/AX122*#REF!</f>
        <v>#REF!</v>
      </c>
    </row>
    <row r="123" spans="18:51" x14ac:dyDescent="0.2">
      <c r="R123" s="64"/>
      <c r="T123" s="52" t="s">
        <v>238</v>
      </c>
      <c r="V123" s="2" t="s">
        <v>14</v>
      </c>
      <c r="W123">
        <v>3592</v>
      </c>
      <c r="AE123">
        <v>810.3</v>
      </c>
      <c r="AF123" s="3">
        <f>0.67*AE123+0.33*AH123</f>
        <v>812.24699999999996</v>
      </c>
      <c r="AG123" s="3">
        <f>0.33*AE123+0.67*AH123</f>
        <v>814.25300000000004</v>
      </c>
      <c r="AH123">
        <v>816.2</v>
      </c>
      <c r="AI123">
        <v>837.2</v>
      </c>
      <c r="AJ123">
        <v>784.1</v>
      </c>
      <c r="AK123">
        <v>837.7</v>
      </c>
      <c r="AL123">
        <v>898.6</v>
      </c>
      <c r="AM123">
        <v>875.2</v>
      </c>
      <c r="AN123">
        <v>814.8</v>
      </c>
      <c r="AO123">
        <v>638.79999999999995</v>
      </c>
    </row>
    <row r="124" spans="18:51" x14ac:dyDescent="0.2">
      <c r="R124" s="64"/>
      <c r="V124">
        <v>321</v>
      </c>
      <c r="AE124" s="5">
        <f>3.412*AE123*0.001</f>
        <v>2.7647435999999996</v>
      </c>
      <c r="AF124" s="5">
        <f t="shared" ref="AF124:AO124" si="27">3.412*AF123*0.001</f>
        <v>2.7713867639999998</v>
      </c>
      <c r="AG124" s="5">
        <f t="shared" si="27"/>
        <v>2.7782312360000003</v>
      </c>
      <c r="AH124" s="5">
        <f t="shared" si="27"/>
        <v>2.7848744000000001</v>
      </c>
      <c r="AI124" s="5">
        <f t="shared" si="27"/>
        <v>2.8565264000000004</v>
      </c>
      <c r="AJ124" s="5">
        <f t="shared" si="27"/>
        <v>2.6753492000000003</v>
      </c>
      <c r="AK124" s="5">
        <f t="shared" si="27"/>
        <v>2.8582323999999999</v>
      </c>
      <c r="AL124" s="5">
        <f t="shared" si="27"/>
        <v>3.0660232000000001</v>
      </c>
      <c r="AM124" s="5">
        <f t="shared" si="27"/>
        <v>2.9861824000000001</v>
      </c>
      <c r="AN124" s="5">
        <f t="shared" si="27"/>
        <v>2.7800975999999995</v>
      </c>
      <c r="AO124" s="5">
        <f t="shared" si="27"/>
        <v>2.1795855999999998</v>
      </c>
    </row>
    <row r="125" spans="18:51" x14ac:dyDescent="0.2">
      <c r="R125" s="64"/>
      <c r="V125">
        <v>322</v>
      </c>
      <c r="W125" t="s">
        <v>17</v>
      </c>
      <c r="AE125" s="5">
        <f t="shared" ref="AE125:AO125" si="28">AE38-AE124</f>
        <v>244.33425639999999</v>
      </c>
      <c r="AF125" s="5">
        <f t="shared" si="28"/>
        <v>252.37561323599999</v>
      </c>
      <c r="AG125" s="5">
        <f t="shared" si="28"/>
        <v>255.69576876400004</v>
      </c>
      <c r="AH125" s="5">
        <f t="shared" si="28"/>
        <v>240.3711256</v>
      </c>
      <c r="AI125" s="5">
        <f t="shared" si="28"/>
        <v>225.41547359999998</v>
      </c>
      <c r="AJ125" s="5">
        <f t="shared" si="28"/>
        <v>221.0556508</v>
      </c>
      <c r="AK125" s="5">
        <f t="shared" si="28"/>
        <v>212.43876760000001</v>
      </c>
      <c r="AL125" s="5">
        <f t="shared" si="28"/>
        <v>210.11497680000005</v>
      </c>
      <c r="AM125" s="5">
        <f t="shared" si="28"/>
        <v>179.1668176</v>
      </c>
      <c r="AN125" s="5">
        <f t="shared" si="28"/>
        <v>192.63490240000002</v>
      </c>
      <c r="AO125" s="5">
        <f t="shared" si="28"/>
        <v>188.18441439999998</v>
      </c>
    </row>
    <row r="126" spans="18:51" x14ac:dyDescent="0.2">
      <c r="R126" s="64"/>
      <c r="V126">
        <v>323</v>
      </c>
      <c r="AE126" s="5"/>
      <c r="AF126" s="5"/>
      <c r="AG126" s="5"/>
      <c r="AH126" s="5"/>
      <c r="AI126" s="5"/>
      <c r="AJ126" s="5"/>
      <c r="AK126" s="5"/>
      <c r="AL126" s="5"/>
      <c r="AM126" s="5"/>
      <c r="AN126" s="5"/>
      <c r="AO126" s="5"/>
    </row>
    <row r="127" spans="18:51" x14ac:dyDescent="0.2">
      <c r="R127" s="64"/>
      <c r="V127">
        <v>324</v>
      </c>
    </row>
    <row r="128" spans="18:51" x14ac:dyDescent="0.2">
      <c r="R128" s="64"/>
      <c r="V128">
        <v>325</v>
      </c>
      <c r="W128">
        <v>3647</v>
      </c>
      <c r="AE128">
        <v>369</v>
      </c>
      <c r="AF128" s="3">
        <f>0.67*AE128+0.33*AH128</f>
        <v>344.67900000000003</v>
      </c>
      <c r="AG128" s="3">
        <f>0.33*AE128+0.67*AH128</f>
        <v>319.62100000000004</v>
      </c>
      <c r="AH128">
        <v>295.3</v>
      </c>
      <c r="AI128">
        <v>301.5</v>
      </c>
      <c r="AJ128">
        <v>298.8</v>
      </c>
      <c r="AK128">
        <v>329.3</v>
      </c>
      <c r="AL128">
        <v>365.4</v>
      </c>
      <c r="AM128">
        <v>366.4</v>
      </c>
      <c r="AN128">
        <v>410.1</v>
      </c>
      <c r="AO128">
        <v>423.9</v>
      </c>
    </row>
    <row r="129" spans="18:50" x14ac:dyDescent="0.2">
      <c r="R129" s="64"/>
      <c r="V129">
        <v>326</v>
      </c>
      <c r="W129">
        <v>3694</v>
      </c>
      <c r="AE129">
        <v>908</v>
      </c>
      <c r="AF129" s="3">
        <f>0.67*AE129+0.33*AH129</f>
        <v>851.53700000000003</v>
      </c>
      <c r="AG129" s="3">
        <f>0.33*AE129+0.67*AH129</f>
        <v>793.36300000000006</v>
      </c>
      <c r="AH129">
        <v>736.9</v>
      </c>
      <c r="AI129">
        <v>721.9</v>
      </c>
      <c r="AJ129">
        <v>588.79999999999995</v>
      </c>
      <c r="AK129">
        <v>682.5</v>
      </c>
      <c r="AL129">
        <v>791</v>
      </c>
      <c r="AM129">
        <v>778.2</v>
      </c>
      <c r="AN129">
        <v>788.9</v>
      </c>
      <c r="AO129">
        <v>1169.2</v>
      </c>
    </row>
    <row r="130" spans="18:50" x14ac:dyDescent="0.2">
      <c r="R130" s="64"/>
      <c r="V130">
        <v>327</v>
      </c>
      <c r="AE130">
        <f>SUM(AE128:AE129)</f>
        <v>1277</v>
      </c>
      <c r="AF130">
        <f t="shared" ref="AF130:AO130" si="29">SUM(AF128:AF129)</f>
        <v>1196.2160000000001</v>
      </c>
      <c r="AG130">
        <f t="shared" si="29"/>
        <v>1112.9840000000002</v>
      </c>
      <c r="AH130">
        <f t="shared" si="29"/>
        <v>1032.2</v>
      </c>
      <c r="AI130">
        <f t="shared" si="29"/>
        <v>1023.4</v>
      </c>
      <c r="AJ130">
        <f t="shared" si="29"/>
        <v>887.59999999999991</v>
      </c>
      <c r="AK130">
        <f t="shared" si="29"/>
        <v>1011.8</v>
      </c>
      <c r="AL130">
        <f t="shared" si="29"/>
        <v>1156.4000000000001</v>
      </c>
      <c r="AM130">
        <f t="shared" si="29"/>
        <v>1144.5999999999999</v>
      </c>
      <c r="AN130">
        <f t="shared" si="29"/>
        <v>1199</v>
      </c>
      <c r="AO130">
        <f t="shared" si="29"/>
        <v>1593.1</v>
      </c>
    </row>
    <row r="131" spans="18:50" x14ac:dyDescent="0.2">
      <c r="R131" s="64"/>
      <c r="V131">
        <v>331</v>
      </c>
      <c r="AE131" s="5">
        <f t="shared" ref="AE131:AO131" si="30">3.412*AE130*0.001</f>
        <v>4.3571239999999998</v>
      </c>
      <c r="AF131" s="5">
        <f t="shared" si="30"/>
        <v>4.0814889920000006</v>
      </c>
      <c r="AG131" s="5">
        <f t="shared" si="30"/>
        <v>3.7975014080000005</v>
      </c>
      <c r="AH131" s="5">
        <f t="shared" si="30"/>
        <v>3.5218664</v>
      </c>
      <c r="AI131" s="5">
        <f t="shared" si="30"/>
        <v>3.4918407999999999</v>
      </c>
      <c r="AJ131" s="5">
        <f t="shared" si="30"/>
        <v>3.0284911999999995</v>
      </c>
      <c r="AK131" s="5">
        <f t="shared" si="30"/>
        <v>3.4522615999999999</v>
      </c>
      <c r="AL131" s="5">
        <f t="shared" si="30"/>
        <v>3.9456368000000004</v>
      </c>
      <c r="AM131" s="5">
        <f t="shared" si="30"/>
        <v>3.9053751999999995</v>
      </c>
      <c r="AN131" s="5">
        <f t="shared" si="30"/>
        <v>4.0909880000000003</v>
      </c>
      <c r="AO131" s="5">
        <f t="shared" si="30"/>
        <v>5.4356571999999996</v>
      </c>
    </row>
    <row r="132" spans="18:50" x14ac:dyDescent="0.2">
      <c r="R132" s="64"/>
      <c r="V132">
        <v>332</v>
      </c>
      <c r="W132" t="s">
        <v>16</v>
      </c>
      <c r="AE132" s="5">
        <f t="shared" ref="AE132:AO132" si="31">AE40-AE131</f>
        <v>94.895876000000001</v>
      </c>
      <c r="AF132" s="5">
        <f t="shared" si="31"/>
        <v>96.949511008000002</v>
      </c>
      <c r="AG132" s="5">
        <f t="shared" si="31"/>
        <v>97.641498591999991</v>
      </c>
      <c r="AH132" s="5">
        <f t="shared" si="31"/>
        <v>88.607133600000012</v>
      </c>
      <c r="AI132" s="5">
        <f t="shared" si="31"/>
        <v>84.092159199999998</v>
      </c>
      <c r="AJ132" s="5">
        <f t="shared" si="31"/>
        <v>80.024508800000007</v>
      </c>
      <c r="AK132" s="5">
        <f t="shared" si="31"/>
        <v>83.614738400000007</v>
      </c>
      <c r="AL132" s="5">
        <f t="shared" si="31"/>
        <v>80.710363199999989</v>
      </c>
      <c r="AM132" s="5">
        <f t="shared" si="31"/>
        <v>70.481624800000006</v>
      </c>
      <c r="AN132" s="5">
        <f t="shared" si="31"/>
        <v>77.299011999999991</v>
      </c>
      <c r="AO132" s="5">
        <f t="shared" si="31"/>
        <v>76.064342800000006</v>
      </c>
    </row>
    <row r="133" spans="18:50" x14ac:dyDescent="0.2">
      <c r="R133" s="64"/>
      <c r="V133">
        <v>333</v>
      </c>
    </row>
    <row r="134" spans="18:50" x14ac:dyDescent="0.2">
      <c r="R134" s="64"/>
      <c r="V134">
        <v>334</v>
      </c>
      <c r="W134" t="s">
        <v>20</v>
      </c>
      <c r="AE134" s="5">
        <f t="shared" ref="AE134:AO134" si="32">AE41+AE119+AE124+AE131</f>
        <v>278.15656079999997</v>
      </c>
      <c r="AF134" s="5">
        <f t="shared" si="32"/>
        <v>285.75514625200003</v>
      </c>
      <c r="AG134" s="5">
        <f t="shared" si="32"/>
        <v>269.87077974800002</v>
      </c>
      <c r="AH134" s="5">
        <f t="shared" si="32"/>
        <v>236.73036520000002</v>
      </c>
      <c r="AI134" s="5">
        <f t="shared" si="32"/>
        <v>224.43536800000001</v>
      </c>
      <c r="AJ134" s="5">
        <f t="shared" si="32"/>
        <v>207.48447039999999</v>
      </c>
      <c r="AK134" s="5">
        <f t="shared" si="32"/>
        <v>232.71165439999999</v>
      </c>
      <c r="AL134" s="5">
        <f t="shared" si="32"/>
        <v>241.38694399999997</v>
      </c>
      <c r="AM134" s="5">
        <f t="shared" si="32"/>
        <v>214.73696159999997</v>
      </c>
      <c r="AN134" s="5">
        <f t="shared" si="32"/>
        <v>225.76225280000003</v>
      </c>
      <c r="AO134" s="5">
        <f t="shared" si="32"/>
        <v>227.184338</v>
      </c>
    </row>
    <row r="135" spans="18:50" x14ac:dyDescent="0.2">
      <c r="R135" s="64"/>
      <c r="V135">
        <v>335</v>
      </c>
    </row>
    <row r="136" spans="18:50" x14ac:dyDescent="0.2">
      <c r="R136" s="64"/>
      <c r="V136">
        <v>336</v>
      </c>
      <c r="W136" t="s">
        <v>21</v>
      </c>
    </row>
    <row r="137" spans="18:50" x14ac:dyDescent="0.2">
      <c r="R137" s="64"/>
      <c r="W137">
        <v>3599</v>
      </c>
      <c r="AE137">
        <v>2176.6999999999998</v>
      </c>
      <c r="AF137" s="3">
        <f>0.67*AE137+0.33*AH137</f>
        <v>2260.52</v>
      </c>
      <c r="AG137" s="3">
        <f>0.33*AE137+0.67*AH137</f>
        <v>2346.88</v>
      </c>
      <c r="AH137">
        <v>2430.6999999999998</v>
      </c>
      <c r="AI137">
        <v>2393</v>
      </c>
      <c r="AJ137">
        <v>2295.5</v>
      </c>
      <c r="AK137">
        <v>2153.5</v>
      </c>
      <c r="AL137">
        <v>2061.9</v>
      </c>
      <c r="AM137">
        <v>1736.9</v>
      </c>
      <c r="AN137">
        <v>1596</v>
      </c>
      <c r="AO137">
        <v>2850.8</v>
      </c>
    </row>
    <row r="138" spans="18:50" x14ac:dyDescent="0.2">
      <c r="R138" s="64"/>
      <c r="W138" t="s">
        <v>131</v>
      </c>
      <c r="AM138">
        <v>232.2</v>
      </c>
      <c r="AN138">
        <v>224.4</v>
      </c>
      <c r="AO138">
        <v>228.5</v>
      </c>
    </row>
    <row r="139" spans="18:50" x14ac:dyDescent="0.2">
      <c r="R139" s="64"/>
      <c r="W139" t="s">
        <v>129</v>
      </c>
      <c r="AE139">
        <f t="shared" ref="AE139:AM139" si="33">AE137/AF137*AF139</f>
        <v>3818.291569141672</v>
      </c>
      <c r="AF139">
        <f t="shared" si="33"/>
        <v>3965.3257030716832</v>
      </c>
      <c r="AG139">
        <f t="shared" si="33"/>
        <v>4116.8154168177552</v>
      </c>
      <c r="AH139">
        <f t="shared" si="33"/>
        <v>4263.8495507477655</v>
      </c>
      <c r="AI139">
        <f t="shared" si="33"/>
        <v>4197.7175196196176</v>
      </c>
      <c r="AJ139">
        <f t="shared" si="33"/>
        <v>4026.6864046330265</v>
      </c>
      <c r="AK139">
        <f t="shared" si="33"/>
        <v>3777.5949346012735</v>
      </c>
      <c r="AL139">
        <f t="shared" si="33"/>
        <v>3616.9133947779733</v>
      </c>
      <c r="AM139">
        <f t="shared" si="33"/>
        <v>3046.809678156003</v>
      </c>
      <c r="AN139">
        <f>AN138/AO138*AO137</f>
        <v>2799.6477899343545</v>
      </c>
      <c r="AO139">
        <v>2850.8</v>
      </c>
      <c r="AR139">
        <f>SUM(AO139:AO141)</f>
        <v>4405.8999999999996</v>
      </c>
    </row>
    <row r="140" spans="18:50" x14ac:dyDescent="0.2">
      <c r="R140" s="64"/>
      <c r="W140">
        <v>3543</v>
      </c>
      <c r="AE140" s="3">
        <f t="shared" ref="AE140:AN140" si="34">$AX140*AE38</f>
        <v>135.25517324704253</v>
      </c>
      <c r="AF140" s="3">
        <f t="shared" si="34"/>
        <v>139.66042634111494</v>
      </c>
      <c r="AG140" s="3">
        <f t="shared" si="34"/>
        <v>141.48153432371672</v>
      </c>
      <c r="AH140" s="3">
        <f t="shared" si="34"/>
        <v>133.09688386459626</v>
      </c>
      <c r="AI140" s="3">
        <f t="shared" si="34"/>
        <v>124.94979302809357</v>
      </c>
      <c r="AJ140" s="3">
        <f t="shared" si="34"/>
        <v>122.464174949045</v>
      </c>
      <c r="AK140" s="3">
        <f t="shared" si="34"/>
        <v>117.84763610766744</v>
      </c>
      <c r="AL140" s="3">
        <f t="shared" si="34"/>
        <v>116.68939610430549</v>
      </c>
      <c r="AM140" s="3">
        <f t="shared" si="34"/>
        <v>99.705525204345378</v>
      </c>
      <c r="AN140" s="3">
        <f t="shared" si="34"/>
        <v>106.96477800424454</v>
      </c>
      <c r="AO140">
        <v>104.2</v>
      </c>
      <c r="AR140" t="s">
        <v>132</v>
      </c>
      <c r="AU140" t="s">
        <v>133</v>
      </c>
      <c r="AX140">
        <f>AO140/AO38</f>
        <v>0.5473724023449813</v>
      </c>
    </row>
    <row r="141" spans="18:50" x14ac:dyDescent="0.2">
      <c r="R141" s="64"/>
      <c r="W141">
        <v>3562</v>
      </c>
      <c r="AE141">
        <v>1286.0999999999999</v>
      </c>
      <c r="AF141" s="3">
        <f>0.67*AE141+0.33*AH141</f>
        <v>1289.598</v>
      </c>
      <c r="AG141" s="3">
        <f>0.33*AE141+0.67*AH141</f>
        <v>1293.2020000000002</v>
      </c>
      <c r="AH141">
        <v>1296.7</v>
      </c>
      <c r="AI141">
        <v>1064.9000000000001</v>
      </c>
      <c r="AJ141">
        <v>1255.0999999999999</v>
      </c>
      <c r="AK141">
        <v>1271.7</v>
      </c>
      <c r="AL141">
        <v>1439.6</v>
      </c>
      <c r="AM141">
        <v>1379</v>
      </c>
      <c r="AN141">
        <v>1438.3</v>
      </c>
      <c r="AO141">
        <v>1450.9</v>
      </c>
    </row>
    <row r="142" spans="18:50" x14ac:dyDescent="0.2">
      <c r="AE142">
        <f>SUM(AE139:AE141)</f>
        <v>5239.6467423887143</v>
      </c>
      <c r="AF142">
        <f t="shared" ref="AF142:AN142" si="35">SUM(AF139:AF141)</f>
        <v>5394.5841294127977</v>
      </c>
      <c r="AG142">
        <f t="shared" si="35"/>
        <v>5551.4989511414724</v>
      </c>
      <c r="AH142">
        <f t="shared" si="35"/>
        <v>5693.6464346123612</v>
      </c>
      <c r="AI142">
        <f t="shared" si="35"/>
        <v>5387.5673126477104</v>
      </c>
      <c r="AJ142">
        <f t="shared" si="35"/>
        <v>5404.2505795820707</v>
      </c>
      <c r="AK142">
        <f t="shared" si="35"/>
        <v>5167.1425707089411</v>
      </c>
      <c r="AL142">
        <f t="shared" si="35"/>
        <v>5173.2027908822784</v>
      </c>
      <c r="AM142">
        <f t="shared" si="35"/>
        <v>4525.5152033603481</v>
      </c>
      <c r="AN142">
        <f t="shared" si="35"/>
        <v>4344.9125679385988</v>
      </c>
      <c r="AO142">
        <f>SUM(AO139:AO141)</f>
        <v>4405.8999999999996</v>
      </c>
      <c r="AP142">
        <f>AN139/AN137</f>
        <v>1.7541652819137559</v>
      </c>
    </row>
    <row r="143" spans="18:50" x14ac:dyDescent="0.2">
      <c r="W143" t="s">
        <v>130</v>
      </c>
      <c r="AE143" s="5">
        <f t="shared" ref="AE143:AO143" si="36">3.412*AE142*0.001</f>
        <v>17.877674685030293</v>
      </c>
      <c r="AF143" s="5">
        <f t="shared" si="36"/>
        <v>18.406321049556464</v>
      </c>
      <c r="AG143" s="5">
        <f t="shared" si="36"/>
        <v>18.941714421294702</v>
      </c>
      <c r="AH143" s="5">
        <f t="shared" si="36"/>
        <v>19.426721634897376</v>
      </c>
      <c r="AI143" s="5">
        <f t="shared" si="36"/>
        <v>18.382379670753988</v>
      </c>
      <c r="AJ143" s="5">
        <f t="shared" si="36"/>
        <v>18.439302977534027</v>
      </c>
      <c r="AK143" s="5">
        <f t="shared" si="36"/>
        <v>17.630290451258904</v>
      </c>
      <c r="AL143" s="5">
        <f t="shared" si="36"/>
        <v>17.650967922490334</v>
      </c>
      <c r="AM143" s="5">
        <f t="shared" si="36"/>
        <v>15.441057873865509</v>
      </c>
      <c r="AN143" s="5">
        <f t="shared" si="36"/>
        <v>14.8248416818065</v>
      </c>
      <c r="AO143" s="5">
        <f t="shared" si="36"/>
        <v>15.032930799999999</v>
      </c>
    </row>
    <row r="145" spans="17:44" x14ac:dyDescent="0.2">
      <c r="W145" t="s">
        <v>148</v>
      </c>
    </row>
    <row r="146" spans="17:44" x14ac:dyDescent="0.2">
      <c r="T146" s="52" t="s">
        <v>240</v>
      </c>
      <c r="W146">
        <v>2434</v>
      </c>
      <c r="AF146" s="3"/>
      <c r="AG146" s="3"/>
      <c r="AK146">
        <v>10.4</v>
      </c>
      <c r="AL146">
        <v>12.8</v>
      </c>
      <c r="AM146">
        <v>12.4</v>
      </c>
    </row>
    <row r="147" spans="17:44" x14ac:dyDescent="0.2">
      <c r="W147" t="s">
        <v>134</v>
      </c>
      <c r="AK147">
        <v>488.9</v>
      </c>
      <c r="AL147">
        <v>505</v>
      </c>
      <c r="AM147">
        <v>462</v>
      </c>
    </row>
    <row r="148" spans="17:44" x14ac:dyDescent="0.2">
      <c r="W148" t="s">
        <v>149</v>
      </c>
      <c r="X148" s="63">
        <v>0.02</v>
      </c>
      <c r="Y148" s="63">
        <v>0.02</v>
      </c>
      <c r="Z148" s="63">
        <v>0.02</v>
      </c>
      <c r="AA148" s="63">
        <v>0.02</v>
      </c>
      <c r="AB148" s="63">
        <v>0.02</v>
      </c>
      <c r="AC148" s="63">
        <v>0.02</v>
      </c>
      <c r="AD148" s="63">
        <v>0.02</v>
      </c>
      <c r="AE148" s="63">
        <v>0.02</v>
      </c>
      <c r="AF148" s="63">
        <v>0.02</v>
      </c>
      <c r="AG148" s="63">
        <v>0.02</v>
      </c>
      <c r="AH148" s="63">
        <v>0.02</v>
      </c>
      <c r="AI148" s="63">
        <v>0.02</v>
      </c>
      <c r="AJ148" s="63">
        <v>0.02</v>
      </c>
      <c r="AK148">
        <f>AK146/AK147</f>
        <v>2.1272243812640625E-2</v>
      </c>
      <c r="AL148">
        <f>AL146/AL147</f>
        <v>2.5346534653465348E-2</v>
      </c>
      <c r="AM148">
        <f>AM146/AM147</f>
        <v>2.6839826839826841E-2</v>
      </c>
    </row>
    <row r="149" spans="17:44" x14ac:dyDescent="0.2">
      <c r="W149" s="52" t="s">
        <v>252</v>
      </c>
      <c r="X149">
        <f>X148*X6</f>
        <v>8.7446800000000007</v>
      </c>
      <c r="Y149">
        <f t="shared" ref="Y149:AM149" si="37">Y148*Y6</f>
        <v>8.5800400000000003</v>
      </c>
      <c r="Z149">
        <f t="shared" si="37"/>
        <v>8.9970800000000004</v>
      </c>
      <c r="AA149">
        <f t="shared" si="37"/>
        <v>9.26844</v>
      </c>
      <c r="AB149">
        <f t="shared" si="37"/>
        <v>8.8641199999999998</v>
      </c>
      <c r="AC149">
        <f t="shared" si="37"/>
        <v>8.3010000000000002</v>
      </c>
      <c r="AD149">
        <f t="shared" si="37"/>
        <v>8.9694199999999995</v>
      </c>
      <c r="AE149">
        <f t="shared" si="37"/>
        <v>8.9001599999999996</v>
      </c>
      <c r="AF149">
        <f t="shared" si="37"/>
        <v>9.7074800000000003</v>
      </c>
      <c r="AG149">
        <f t="shared" si="37"/>
        <v>9.6820199999999996</v>
      </c>
      <c r="AH149">
        <f t="shared" si="37"/>
        <v>9.1104600000000016</v>
      </c>
      <c r="AI149">
        <f t="shared" si="37"/>
        <v>9.02576</v>
      </c>
      <c r="AJ149">
        <f t="shared" si="37"/>
        <v>7.8776599999999997</v>
      </c>
      <c r="AK149">
        <f t="shared" si="37"/>
        <v>9.2292182450398865</v>
      </c>
      <c r="AL149">
        <f t="shared" si="37"/>
        <v>11.650002376237623</v>
      </c>
      <c r="AM149">
        <f t="shared" si="37"/>
        <v>12.611283116883119</v>
      </c>
    </row>
    <row r="156" spans="17:44" x14ac:dyDescent="0.2">
      <c r="V156" s="52" t="s">
        <v>243</v>
      </c>
    </row>
    <row r="158" spans="17:44" x14ac:dyDescent="0.2">
      <c r="X158">
        <f>1970</f>
        <v>1970</v>
      </c>
      <c r="Y158">
        <f t="shared" ref="Y158:AD158" si="38">X158+1</f>
        <v>1971</v>
      </c>
      <c r="Z158">
        <f t="shared" si="38"/>
        <v>1972</v>
      </c>
      <c r="AA158">
        <f t="shared" si="38"/>
        <v>1973</v>
      </c>
      <c r="AB158">
        <f t="shared" si="38"/>
        <v>1974</v>
      </c>
      <c r="AC158">
        <f t="shared" si="38"/>
        <v>1975</v>
      </c>
      <c r="AD158">
        <f t="shared" si="38"/>
        <v>1976</v>
      </c>
      <c r="AE158">
        <v>1977</v>
      </c>
      <c r="AF158">
        <f>AE158+1</f>
        <v>1978</v>
      </c>
      <c r="AG158">
        <f t="shared" ref="AG158:AO158" si="39">AF158+1</f>
        <v>1979</v>
      </c>
      <c r="AH158">
        <f t="shared" si="39"/>
        <v>1980</v>
      </c>
      <c r="AI158">
        <f t="shared" si="39"/>
        <v>1981</v>
      </c>
      <c r="AJ158">
        <f t="shared" si="39"/>
        <v>1982</v>
      </c>
      <c r="AK158">
        <f t="shared" si="39"/>
        <v>1983</v>
      </c>
      <c r="AL158">
        <f t="shared" si="39"/>
        <v>1984</v>
      </c>
      <c r="AM158">
        <f t="shared" si="39"/>
        <v>1985</v>
      </c>
      <c r="AN158">
        <f t="shared" si="39"/>
        <v>1986</v>
      </c>
      <c r="AO158">
        <f t="shared" si="39"/>
        <v>1987</v>
      </c>
      <c r="AQ158" t="s">
        <v>28</v>
      </c>
    </row>
    <row r="159" spans="17:44" x14ac:dyDescent="0.2">
      <c r="Q159" s="52" t="s">
        <v>241</v>
      </c>
      <c r="R159" t="str">
        <f t="shared" ref="R159:R176" si="40">V159</f>
        <v>311-312</v>
      </c>
      <c r="S159">
        <f t="shared" ref="S159:S169" si="41">AE159/AE26</f>
        <v>1</v>
      </c>
      <c r="V159" t="str">
        <f t="shared" ref="V159:AM159" si="42">V26</f>
        <v>311-312</v>
      </c>
      <c r="W159">
        <f t="shared" si="42"/>
        <v>1</v>
      </c>
      <c r="X159" s="57">
        <f t="shared" si="42"/>
        <v>882.41100000000006</v>
      </c>
      <c r="Y159" s="57">
        <f t="shared" si="42"/>
        <v>896.35400000000004</v>
      </c>
      <c r="Z159" s="57">
        <f t="shared" si="42"/>
        <v>889.75599999999997</v>
      </c>
      <c r="AA159" s="57">
        <f t="shared" si="42"/>
        <v>863.04500000000007</v>
      </c>
      <c r="AB159" s="57">
        <f t="shared" si="42"/>
        <v>788.71900000000005</v>
      </c>
      <c r="AC159" s="57">
        <f t="shared" si="42"/>
        <v>791.38300000000004</v>
      </c>
      <c r="AD159" s="57">
        <f t="shared" si="42"/>
        <v>795.08199999999999</v>
      </c>
      <c r="AE159">
        <f t="shared" si="42"/>
        <v>803.29600000000005</v>
      </c>
      <c r="AF159">
        <f t="shared" si="42"/>
        <v>826.99199999999996</v>
      </c>
      <c r="AG159">
        <f t="shared" si="42"/>
        <v>798.23899999999992</v>
      </c>
      <c r="AH159">
        <f t="shared" si="42"/>
        <v>793.90499999999997</v>
      </c>
      <c r="AI159">
        <f t="shared" si="42"/>
        <v>750.38799999999992</v>
      </c>
      <c r="AJ159">
        <f t="shared" si="42"/>
        <v>767.68</v>
      </c>
      <c r="AK159">
        <f t="shared" si="42"/>
        <v>797.24399999999991</v>
      </c>
      <c r="AL159">
        <f t="shared" si="42"/>
        <v>791.21399999999994</v>
      </c>
      <c r="AM159">
        <f t="shared" si="42"/>
        <v>700.952</v>
      </c>
      <c r="AQ159">
        <f t="shared" ref="AQ159:AQ176" si="43">AR3</f>
        <v>175.813536</v>
      </c>
      <c r="AR159">
        <f>AQ159/3.412*1000</f>
        <v>51528</v>
      </c>
    </row>
    <row r="160" spans="17:44" x14ac:dyDescent="0.2">
      <c r="R160" t="str">
        <f t="shared" si="40"/>
        <v>313-314</v>
      </c>
      <c r="S160">
        <f t="shared" si="41"/>
        <v>1</v>
      </c>
      <c r="V160" t="str">
        <f t="shared" ref="V160:AM160" si="44">V27</f>
        <v>313-314</v>
      </c>
      <c r="W160">
        <f t="shared" si="44"/>
        <v>2</v>
      </c>
      <c r="X160" s="57">
        <f t="shared" si="44"/>
        <v>254.73499999999999</v>
      </c>
      <c r="Y160" s="57">
        <f t="shared" si="44"/>
        <v>271.54899999999998</v>
      </c>
      <c r="Z160" s="57">
        <f t="shared" si="44"/>
        <v>273.87000000000006</v>
      </c>
      <c r="AA160" s="57">
        <f t="shared" si="44"/>
        <v>252.18700000000001</v>
      </c>
      <c r="AB160" s="57">
        <f t="shared" si="44"/>
        <v>220.44800000000001</v>
      </c>
      <c r="AC160" s="57">
        <f t="shared" si="44"/>
        <v>219.798</v>
      </c>
      <c r="AD160" s="57">
        <f t="shared" si="44"/>
        <v>230.82899999999998</v>
      </c>
      <c r="AE160">
        <f t="shared" si="44"/>
        <v>243.09300000000002</v>
      </c>
      <c r="AF160">
        <f t="shared" si="44"/>
        <v>238.75</v>
      </c>
      <c r="AG160">
        <f t="shared" si="44"/>
        <v>225.91599999999997</v>
      </c>
      <c r="AH160">
        <f t="shared" si="44"/>
        <v>208.69900000000001</v>
      </c>
      <c r="AI160">
        <f t="shared" si="44"/>
        <v>203.875</v>
      </c>
      <c r="AJ160">
        <f t="shared" si="44"/>
        <v>180.465</v>
      </c>
      <c r="AK160">
        <f t="shared" si="44"/>
        <v>202.08600000000001</v>
      </c>
      <c r="AL160">
        <f t="shared" si="44"/>
        <v>198.92</v>
      </c>
      <c r="AM160">
        <f t="shared" si="44"/>
        <v>176.35299999999998</v>
      </c>
      <c r="AQ160">
        <f t="shared" si="43"/>
        <v>100.9068292</v>
      </c>
      <c r="AR160">
        <f t="shared" ref="AR160:AR176" si="45">AQ160/3.412*1000</f>
        <v>29574.100000000002</v>
      </c>
    </row>
    <row r="161" spans="18:44" x14ac:dyDescent="0.2">
      <c r="R161" t="str">
        <f t="shared" si="40"/>
        <v>315-316</v>
      </c>
      <c r="S161">
        <f t="shared" si="41"/>
        <v>1</v>
      </c>
      <c r="V161" t="str">
        <f t="shared" ref="V161:AM161" si="46">V28</f>
        <v>315-316</v>
      </c>
      <c r="W161">
        <f t="shared" si="46"/>
        <v>3</v>
      </c>
      <c r="X161" s="57">
        <f t="shared" si="46"/>
        <v>65.762</v>
      </c>
      <c r="Y161" s="57">
        <f t="shared" si="46"/>
        <v>62.195999999999998</v>
      </c>
      <c r="Z161" s="57">
        <f t="shared" si="46"/>
        <v>58.408000000000001</v>
      </c>
      <c r="AA161" s="57">
        <f t="shared" si="46"/>
        <v>49.652999999999999</v>
      </c>
      <c r="AB161" s="57">
        <f t="shared" si="46"/>
        <v>42.930999999999997</v>
      </c>
      <c r="AC161" s="57">
        <f t="shared" si="46"/>
        <v>41.317</v>
      </c>
      <c r="AD161" s="57">
        <f t="shared" si="46"/>
        <v>40.389999999999993</v>
      </c>
      <c r="AE161">
        <f t="shared" si="46"/>
        <v>44.045000000000002</v>
      </c>
      <c r="AF161">
        <f t="shared" si="46"/>
        <v>45.826999999999998</v>
      </c>
      <c r="AG161">
        <f t="shared" si="46"/>
        <v>41.187999999999995</v>
      </c>
      <c r="AH161">
        <f t="shared" si="46"/>
        <v>40.210999999999999</v>
      </c>
      <c r="AI161">
        <f t="shared" si="46"/>
        <v>40.091999999999999</v>
      </c>
      <c r="AJ161">
        <f t="shared" si="46"/>
        <v>32.204000000000001</v>
      </c>
      <c r="AK161">
        <f t="shared" si="46"/>
        <v>35.009</v>
      </c>
      <c r="AL161">
        <f t="shared" si="46"/>
        <v>30.833999999999996</v>
      </c>
      <c r="AM161">
        <f t="shared" si="46"/>
        <v>26.388000000000002</v>
      </c>
      <c r="AQ161">
        <f t="shared" si="43"/>
        <v>26.450506399999998</v>
      </c>
      <c r="AR161">
        <f t="shared" si="45"/>
        <v>7752.1999999999989</v>
      </c>
    </row>
    <row r="162" spans="18:44" x14ac:dyDescent="0.2">
      <c r="R162">
        <f t="shared" si="40"/>
        <v>321</v>
      </c>
      <c r="S162">
        <f t="shared" si="41"/>
        <v>0.98000000000000009</v>
      </c>
      <c r="V162">
        <f t="shared" ref="V162:W176" si="47">V29</f>
        <v>321</v>
      </c>
      <c r="W162">
        <f t="shared" si="47"/>
        <v>4</v>
      </c>
      <c r="X162" s="57">
        <f>X29-X149</f>
        <v>428.48932000000002</v>
      </c>
      <c r="Y162" s="57">
        <f t="shared" ref="Y162:AM162" si="48">Y29-Y149</f>
        <v>420.42196000000001</v>
      </c>
      <c r="Z162" s="57">
        <f t="shared" si="48"/>
        <v>440.85692</v>
      </c>
      <c r="AA162" s="57">
        <f t="shared" si="48"/>
        <v>454.15356000000003</v>
      </c>
      <c r="AB162" s="57">
        <f t="shared" si="48"/>
        <v>434.34187999999995</v>
      </c>
      <c r="AC162" s="57">
        <f t="shared" si="48"/>
        <v>406.74900000000002</v>
      </c>
      <c r="AD162" s="57">
        <f t="shared" si="48"/>
        <v>439.50157999999999</v>
      </c>
      <c r="AE162" s="57">
        <f t="shared" si="48"/>
        <v>436.10784000000001</v>
      </c>
      <c r="AF162" s="57">
        <f t="shared" si="48"/>
        <v>475.66652000000005</v>
      </c>
      <c r="AG162" s="57">
        <f t="shared" si="48"/>
        <v>474.41897999999998</v>
      </c>
      <c r="AH162" s="57">
        <f t="shared" si="48"/>
        <v>446.41254000000004</v>
      </c>
      <c r="AI162" s="57">
        <f t="shared" si="48"/>
        <v>442.26223999999996</v>
      </c>
      <c r="AJ162" s="57">
        <f t="shared" si="48"/>
        <v>386.00533999999999</v>
      </c>
      <c r="AK162" s="57">
        <f t="shared" si="48"/>
        <v>424.63278175496015</v>
      </c>
      <c r="AL162" s="57">
        <f t="shared" si="48"/>
        <v>447.97899762376233</v>
      </c>
      <c r="AM162" s="57">
        <f t="shared" si="48"/>
        <v>457.26071688311697</v>
      </c>
      <c r="AQ162">
        <f t="shared" si="43"/>
        <v>68.653875599999992</v>
      </c>
      <c r="AR162">
        <f t="shared" si="45"/>
        <v>20121.3</v>
      </c>
    </row>
    <row r="163" spans="18:44" x14ac:dyDescent="0.2">
      <c r="R163">
        <f t="shared" si="40"/>
        <v>322</v>
      </c>
      <c r="S163">
        <f t="shared" si="41"/>
        <v>1</v>
      </c>
      <c r="V163">
        <f t="shared" si="47"/>
        <v>322</v>
      </c>
      <c r="W163">
        <f t="shared" si="47"/>
        <v>5</v>
      </c>
      <c r="X163" s="57">
        <f t="shared" ref="X163:AM163" si="49">X30</f>
        <v>1839.306</v>
      </c>
      <c r="Y163" s="57">
        <f t="shared" si="49"/>
        <v>1946.539</v>
      </c>
      <c r="Z163" s="57">
        <f t="shared" si="49"/>
        <v>2036.461</v>
      </c>
      <c r="AA163" s="57">
        <f t="shared" si="49"/>
        <v>2000.1790000000001</v>
      </c>
      <c r="AB163" s="57">
        <f t="shared" si="49"/>
        <v>2019.8880000000001</v>
      </c>
      <c r="AC163" s="57">
        <f t="shared" si="49"/>
        <v>1859.2450000000001</v>
      </c>
      <c r="AD163" s="57">
        <f t="shared" si="49"/>
        <v>2033.7089999999998</v>
      </c>
      <c r="AE163">
        <f t="shared" si="49"/>
        <v>2087.9460000000004</v>
      </c>
      <c r="AF163">
        <f t="shared" si="49"/>
        <v>2147.0419999999999</v>
      </c>
      <c r="AG163">
        <f t="shared" si="49"/>
        <v>2142.8770000000004</v>
      </c>
      <c r="AH163">
        <f t="shared" si="49"/>
        <v>2086.7080000000001</v>
      </c>
      <c r="AI163">
        <f t="shared" si="49"/>
        <v>2134.06</v>
      </c>
      <c r="AJ163">
        <f t="shared" si="49"/>
        <v>2024.623</v>
      </c>
      <c r="AK163">
        <f t="shared" si="49"/>
        <v>2211.1129999999998</v>
      </c>
      <c r="AL163">
        <f t="shared" si="49"/>
        <v>2279.723</v>
      </c>
      <c r="AM163">
        <f t="shared" si="49"/>
        <v>2212.8360000000002</v>
      </c>
      <c r="AQ163">
        <f t="shared" si="43"/>
        <v>202.15281119999997</v>
      </c>
      <c r="AR163">
        <f t="shared" si="45"/>
        <v>59247.599999999991</v>
      </c>
    </row>
    <row r="164" spans="18:44" x14ac:dyDescent="0.2">
      <c r="R164">
        <f t="shared" si="40"/>
        <v>323</v>
      </c>
      <c r="S164">
        <f t="shared" si="41"/>
        <v>0.67999999999999994</v>
      </c>
      <c r="V164">
        <f t="shared" si="47"/>
        <v>323</v>
      </c>
      <c r="W164">
        <f t="shared" si="47"/>
        <v>6</v>
      </c>
      <c r="X164" s="58">
        <f t="shared" ref="X164:AM164" si="50">X106</f>
        <v>40.970384449244065</v>
      </c>
      <c r="Y164" s="58">
        <f t="shared" si="50"/>
        <v>39.198826086956522</v>
      </c>
      <c r="Z164" s="58">
        <f t="shared" si="50"/>
        <v>38.680440000000004</v>
      </c>
      <c r="AA164" s="58">
        <f t="shared" si="50"/>
        <v>36.07264</v>
      </c>
      <c r="AB164" s="58">
        <f t="shared" si="50"/>
        <v>29.890080000000001</v>
      </c>
      <c r="AC164" s="58">
        <f t="shared" si="50"/>
        <v>32.234720000000003</v>
      </c>
      <c r="AD164" s="58">
        <f t="shared" si="50"/>
        <v>26.116079999999997</v>
      </c>
      <c r="AE164" s="9">
        <f t="shared" si="50"/>
        <v>31.614559999999997</v>
      </c>
      <c r="AF164" s="9">
        <f t="shared" si="50"/>
        <v>31.79748</v>
      </c>
      <c r="AG164" s="9">
        <f t="shared" si="50"/>
        <v>34.863600000000005</v>
      </c>
      <c r="AH164" s="9">
        <f t="shared" si="50"/>
        <v>33.957840000000004</v>
      </c>
      <c r="AI164" s="9">
        <f t="shared" si="50"/>
        <v>33.96396</v>
      </c>
      <c r="AJ164" s="9">
        <f t="shared" si="50"/>
        <v>35.689799999999998</v>
      </c>
      <c r="AK164" s="9">
        <f t="shared" si="50"/>
        <v>37.516514446529079</v>
      </c>
      <c r="AL164" s="9">
        <f t="shared" si="50"/>
        <v>43.264868051118214</v>
      </c>
      <c r="AM164" s="9">
        <f t="shared" si="50"/>
        <v>36.112064236111109</v>
      </c>
      <c r="AN164" s="9"/>
      <c r="AO164" s="9"/>
      <c r="AQ164">
        <f t="shared" si="43"/>
        <v>38.495548799999995</v>
      </c>
      <c r="AR164">
        <f t="shared" si="45"/>
        <v>11282.4</v>
      </c>
    </row>
    <row r="165" spans="18:44" x14ac:dyDescent="0.2">
      <c r="R165">
        <f t="shared" si="40"/>
        <v>324</v>
      </c>
      <c r="S165">
        <f t="shared" si="41"/>
        <v>1</v>
      </c>
      <c r="V165">
        <f t="shared" si="47"/>
        <v>324</v>
      </c>
      <c r="W165">
        <f t="shared" si="47"/>
        <v>7</v>
      </c>
      <c r="X165" s="57">
        <f t="shared" ref="X165:AM165" si="51">X32</f>
        <v>2635.1559999999999</v>
      </c>
      <c r="Y165" s="57">
        <f t="shared" si="51"/>
        <v>2635.9049999999997</v>
      </c>
      <c r="Z165" s="57">
        <f t="shared" si="51"/>
        <v>2773.3790000000004</v>
      </c>
      <c r="AA165" s="57">
        <f t="shared" si="51"/>
        <v>2927.5309999999999</v>
      </c>
      <c r="AB165" s="57">
        <f t="shared" si="51"/>
        <v>2886.8559999999998</v>
      </c>
      <c r="AC165" s="57">
        <f t="shared" si="51"/>
        <v>2747.96</v>
      </c>
      <c r="AD165" s="57">
        <f t="shared" si="51"/>
        <v>2839.1610000000001</v>
      </c>
      <c r="AE165">
        <f t="shared" si="51"/>
        <v>2935.9290000000005</v>
      </c>
      <c r="AF165">
        <f t="shared" si="51"/>
        <v>2926.7709999999997</v>
      </c>
      <c r="AG165">
        <f t="shared" si="51"/>
        <v>2880.9909999999995</v>
      </c>
      <c r="AH165">
        <f t="shared" si="51"/>
        <v>2766.5080000000003</v>
      </c>
      <c r="AI165">
        <f t="shared" si="51"/>
        <v>2323.83</v>
      </c>
      <c r="AJ165">
        <f t="shared" si="51"/>
        <v>2303.2909999999997</v>
      </c>
      <c r="AK165">
        <f t="shared" si="51"/>
        <v>2329.6880000000001</v>
      </c>
      <c r="AL165">
        <f t="shared" si="51"/>
        <v>2352.5519999999997</v>
      </c>
      <c r="AM165">
        <f t="shared" si="51"/>
        <v>2377.5550000000003</v>
      </c>
      <c r="AQ165">
        <f t="shared" si="43"/>
        <v>114.11706959999999</v>
      </c>
      <c r="AR165">
        <f t="shared" si="45"/>
        <v>33445.799999999996</v>
      </c>
    </row>
    <row r="166" spans="18:44" x14ac:dyDescent="0.2">
      <c r="R166">
        <f t="shared" si="40"/>
        <v>325</v>
      </c>
      <c r="S166">
        <f t="shared" si="41"/>
        <v>1</v>
      </c>
      <c r="V166">
        <f t="shared" si="47"/>
        <v>325</v>
      </c>
      <c r="W166">
        <f t="shared" si="47"/>
        <v>8</v>
      </c>
      <c r="X166" s="57">
        <f t="shared" ref="X166:AM166" si="52">X33</f>
        <v>2110.4</v>
      </c>
      <c r="Y166" s="57">
        <f t="shared" si="52"/>
        <v>2174.7960000000003</v>
      </c>
      <c r="Z166" s="57">
        <f t="shared" si="52"/>
        <v>2188.2879999999996</v>
      </c>
      <c r="AA166" s="57">
        <f t="shared" si="52"/>
        <v>2223.35</v>
      </c>
      <c r="AB166" s="57">
        <f t="shared" si="52"/>
        <v>2532.9709999999995</v>
      </c>
      <c r="AC166" s="57">
        <f t="shared" si="52"/>
        <v>2246.998</v>
      </c>
      <c r="AD166" s="57">
        <f t="shared" si="52"/>
        <v>2381.0800000000004</v>
      </c>
      <c r="AE166">
        <f t="shared" si="52"/>
        <v>2323.116</v>
      </c>
      <c r="AF166">
        <f t="shared" si="52"/>
        <v>2225.5829999999996</v>
      </c>
      <c r="AG166">
        <f t="shared" si="52"/>
        <v>2242.2139999999999</v>
      </c>
      <c r="AH166">
        <f t="shared" si="52"/>
        <v>2108.2630000000004</v>
      </c>
      <c r="AI166">
        <f t="shared" si="52"/>
        <v>2047.1180000000002</v>
      </c>
      <c r="AJ166">
        <f t="shared" si="52"/>
        <v>1832.7389999999998</v>
      </c>
      <c r="AK166">
        <f t="shared" si="52"/>
        <v>1900.3729999999998</v>
      </c>
      <c r="AL166">
        <f t="shared" si="52"/>
        <v>1975.92</v>
      </c>
      <c r="AM166">
        <f t="shared" si="52"/>
        <v>1682.6429999999998</v>
      </c>
      <c r="AQ166">
        <f t="shared" si="43"/>
        <v>427.02851879999997</v>
      </c>
      <c r="AR166">
        <f t="shared" si="45"/>
        <v>125154.9</v>
      </c>
    </row>
    <row r="167" spans="18:44" x14ac:dyDescent="0.2">
      <c r="R167">
        <f t="shared" si="40"/>
        <v>326</v>
      </c>
      <c r="S167">
        <f t="shared" si="41"/>
        <v>1</v>
      </c>
      <c r="V167">
        <f t="shared" si="47"/>
        <v>326</v>
      </c>
      <c r="W167">
        <f t="shared" si="47"/>
        <v>9</v>
      </c>
      <c r="X167" s="57">
        <f t="shared" ref="X167:AM167" si="53">X34</f>
        <v>153.815</v>
      </c>
      <c r="Y167" s="57">
        <f t="shared" si="53"/>
        <v>168.61500000000001</v>
      </c>
      <c r="Z167" s="57">
        <f t="shared" si="53"/>
        <v>202.60300000000001</v>
      </c>
      <c r="AA167" s="57">
        <f t="shared" si="53"/>
        <v>192.88800000000001</v>
      </c>
      <c r="AB167" s="57">
        <f t="shared" si="53"/>
        <v>177.321</v>
      </c>
      <c r="AC167" s="57">
        <f t="shared" si="53"/>
        <v>162.273</v>
      </c>
      <c r="AD167" s="57">
        <f t="shared" si="53"/>
        <v>166.16</v>
      </c>
      <c r="AE167">
        <f t="shared" si="53"/>
        <v>189.12100000000001</v>
      </c>
      <c r="AF167">
        <f t="shared" si="53"/>
        <v>177.24</v>
      </c>
      <c r="AG167">
        <f t="shared" si="53"/>
        <v>164.92099999999999</v>
      </c>
      <c r="AH167">
        <f t="shared" si="53"/>
        <v>143.93700000000001</v>
      </c>
      <c r="AI167">
        <f t="shared" si="53"/>
        <v>138.56399999999999</v>
      </c>
      <c r="AJ167">
        <f t="shared" si="53"/>
        <v>131.744</v>
      </c>
      <c r="AK167">
        <f t="shared" si="53"/>
        <v>139.148</v>
      </c>
      <c r="AL167">
        <f t="shared" si="53"/>
        <v>140.756</v>
      </c>
      <c r="AM167">
        <f t="shared" si="53"/>
        <v>124.17</v>
      </c>
      <c r="AQ167">
        <f t="shared" si="43"/>
        <v>108.93594759999999</v>
      </c>
      <c r="AR167">
        <f t="shared" si="45"/>
        <v>31927.3</v>
      </c>
    </row>
    <row r="168" spans="18:44" x14ac:dyDescent="0.2">
      <c r="R168">
        <f t="shared" si="40"/>
        <v>327</v>
      </c>
      <c r="S168">
        <f t="shared" si="41"/>
        <v>1</v>
      </c>
      <c r="V168">
        <f t="shared" si="47"/>
        <v>327</v>
      </c>
      <c r="W168">
        <f t="shared" si="47"/>
        <v>10</v>
      </c>
      <c r="X168" s="57">
        <f t="shared" ref="X168:AM168" si="54">X35</f>
        <v>1130.8</v>
      </c>
      <c r="Y168" s="57">
        <f t="shared" si="54"/>
        <v>1183.4180000000001</v>
      </c>
      <c r="Z168" s="57">
        <f t="shared" si="54"/>
        <v>1223.6130000000001</v>
      </c>
      <c r="AA168" s="57">
        <f t="shared" si="54"/>
        <v>1173.731</v>
      </c>
      <c r="AB168" s="57">
        <f t="shared" si="54"/>
        <v>1180.029</v>
      </c>
      <c r="AC168" s="57">
        <f t="shared" si="54"/>
        <v>1047.886</v>
      </c>
      <c r="AD168" s="57">
        <f t="shared" si="54"/>
        <v>1094.931</v>
      </c>
      <c r="AE168">
        <f t="shared" si="54"/>
        <v>1121.758</v>
      </c>
      <c r="AF168">
        <f t="shared" si="54"/>
        <v>1135.1320000000001</v>
      </c>
      <c r="AG168">
        <f t="shared" si="54"/>
        <v>1123.7539999999999</v>
      </c>
      <c r="AH168">
        <f t="shared" si="54"/>
        <v>996.63300000000004</v>
      </c>
      <c r="AI168">
        <f t="shared" si="54"/>
        <v>950.66399999999999</v>
      </c>
      <c r="AJ168">
        <f t="shared" si="54"/>
        <v>794.495</v>
      </c>
      <c r="AK168">
        <f t="shared" si="54"/>
        <v>867.23099999999999</v>
      </c>
      <c r="AL168">
        <f t="shared" si="54"/>
        <v>877.29299999999989</v>
      </c>
      <c r="AM168">
        <f t="shared" si="54"/>
        <v>800.49400000000003</v>
      </c>
      <c r="AQ168">
        <f t="shared" si="43"/>
        <v>113.86799359999999</v>
      </c>
      <c r="AR168">
        <f t="shared" si="45"/>
        <v>33372.799999999996</v>
      </c>
    </row>
    <row r="169" spans="18:44" x14ac:dyDescent="0.2">
      <c r="R169">
        <f t="shared" si="40"/>
        <v>331</v>
      </c>
      <c r="S169">
        <f t="shared" si="41"/>
        <v>1</v>
      </c>
      <c r="V169">
        <f t="shared" si="47"/>
        <v>331</v>
      </c>
      <c r="W169">
        <f t="shared" si="47"/>
        <v>11</v>
      </c>
      <c r="X169" s="57">
        <f t="shared" ref="X169:AM169" si="55">X36</f>
        <v>3500.2030000000004</v>
      </c>
      <c r="Y169" s="57">
        <f t="shared" si="55"/>
        <v>3268.058</v>
      </c>
      <c r="Z169" s="57">
        <f t="shared" si="55"/>
        <v>3428.297</v>
      </c>
      <c r="AA169" s="57">
        <f t="shared" si="55"/>
        <v>3723.2270000000003</v>
      </c>
      <c r="AB169" s="57">
        <f t="shared" si="55"/>
        <v>3585.6839999999997</v>
      </c>
      <c r="AC169" s="57">
        <f t="shared" si="55"/>
        <v>3004.2560000000003</v>
      </c>
      <c r="AD169" s="57">
        <f t="shared" si="55"/>
        <v>3080.8889999999997</v>
      </c>
      <c r="AE169">
        <f t="shared" si="55"/>
        <v>3029.5459999999998</v>
      </c>
      <c r="AF169">
        <f t="shared" si="55"/>
        <v>3186.489</v>
      </c>
      <c r="AG169">
        <f t="shared" si="55"/>
        <v>3218.0230000000001</v>
      </c>
      <c r="AH169">
        <f t="shared" si="55"/>
        <v>2613.404</v>
      </c>
      <c r="AI169">
        <f t="shared" si="55"/>
        <v>2593.2039999999997</v>
      </c>
      <c r="AJ169">
        <f t="shared" si="55"/>
        <v>1756.1860000000001</v>
      </c>
      <c r="AK169">
        <f t="shared" si="55"/>
        <v>1930.2429999999999</v>
      </c>
      <c r="AL169">
        <f t="shared" si="55"/>
        <v>1930.7450000000001</v>
      </c>
      <c r="AM169">
        <f t="shared" si="55"/>
        <v>1749.29</v>
      </c>
      <c r="AQ169">
        <f t="shared" si="43"/>
        <v>445.69898280000001</v>
      </c>
      <c r="AR169">
        <f t="shared" si="45"/>
        <v>130626.90000000001</v>
      </c>
    </row>
    <row r="170" spans="18:44" x14ac:dyDescent="0.2">
      <c r="R170">
        <f t="shared" si="40"/>
        <v>332</v>
      </c>
      <c r="S170">
        <v>1</v>
      </c>
      <c r="V170">
        <f t="shared" si="47"/>
        <v>332</v>
      </c>
      <c r="W170">
        <f t="shared" si="47"/>
        <v>12</v>
      </c>
      <c r="X170" s="57">
        <f t="shared" ref="X170:AD174" si="56">$S170*X37</f>
        <v>352.20100000000002</v>
      </c>
      <c r="Y170" s="57">
        <f t="shared" si="56"/>
        <v>338.04899999999998</v>
      </c>
      <c r="Z170" s="57">
        <f t="shared" si="56"/>
        <v>351.06400000000002</v>
      </c>
      <c r="AA170" s="57">
        <f t="shared" si="56"/>
        <v>332.52699999999999</v>
      </c>
      <c r="AB170" s="57">
        <f t="shared" si="56"/>
        <v>299.91999999999996</v>
      </c>
      <c r="AC170" s="57">
        <f t="shared" si="56"/>
        <v>281.43400000000003</v>
      </c>
      <c r="AD170" s="57">
        <f t="shared" si="56"/>
        <v>283.89699999999999</v>
      </c>
      <c r="AE170" s="6">
        <f t="shared" ref="AE170:AM170" si="57">AE120+AE143</f>
        <v>291.30298148503033</v>
      </c>
      <c r="AF170" s="6">
        <f t="shared" si="57"/>
        <v>302.1800505535565</v>
      </c>
      <c r="AG170" s="6">
        <f t="shared" si="57"/>
        <v>293.39466731729465</v>
      </c>
      <c r="AH170" s="6">
        <f t="shared" si="57"/>
        <v>274.22409723489739</v>
      </c>
      <c r="AI170" s="6">
        <f t="shared" si="57"/>
        <v>263.68937887075401</v>
      </c>
      <c r="AJ170" s="6">
        <f t="shared" si="57"/>
        <v>260.52167297753402</v>
      </c>
      <c r="AK170" s="6">
        <f t="shared" si="57"/>
        <v>258.73913005125894</v>
      </c>
      <c r="AL170" s="6">
        <f t="shared" si="57"/>
        <v>249.20168392249036</v>
      </c>
      <c r="AM170" s="6">
        <f t="shared" si="57"/>
        <v>223.25865387386554</v>
      </c>
      <c r="AN170" s="6"/>
      <c r="AO170" s="6"/>
      <c r="AQ170">
        <f t="shared" si="43"/>
        <v>110.82210119999999</v>
      </c>
      <c r="AR170">
        <f t="shared" si="45"/>
        <v>32480.1</v>
      </c>
    </row>
    <row r="171" spans="18:44" x14ac:dyDescent="0.2">
      <c r="R171">
        <f t="shared" si="40"/>
        <v>333</v>
      </c>
      <c r="S171">
        <v>1</v>
      </c>
      <c r="V171">
        <f t="shared" si="47"/>
        <v>333</v>
      </c>
      <c r="W171">
        <f t="shared" si="47"/>
        <v>13</v>
      </c>
      <c r="X171" s="57">
        <f t="shared" si="56"/>
        <v>283.69899999999996</v>
      </c>
      <c r="Y171" s="57">
        <f t="shared" si="56"/>
        <v>289.54200000000003</v>
      </c>
      <c r="Z171" s="57">
        <f t="shared" si="56"/>
        <v>301.60399999999993</v>
      </c>
      <c r="AA171" s="57">
        <f t="shared" si="56"/>
        <v>291.31099999999998</v>
      </c>
      <c r="AB171" s="57">
        <f t="shared" si="56"/>
        <v>276.55500000000001</v>
      </c>
      <c r="AC171" s="57">
        <f t="shared" si="56"/>
        <v>253.18</v>
      </c>
      <c r="AD171" s="57">
        <f t="shared" si="56"/>
        <v>248.88</v>
      </c>
      <c r="AE171" s="5">
        <f t="shared" ref="AE171:AM171" si="58">AE125-AE143</f>
        <v>226.4565817149697</v>
      </c>
      <c r="AF171" s="5">
        <f t="shared" si="58"/>
        <v>233.96929218644354</v>
      </c>
      <c r="AG171" s="5">
        <f t="shared" si="58"/>
        <v>236.75405434270533</v>
      </c>
      <c r="AH171" s="5">
        <f t="shared" si="58"/>
        <v>220.94440396510262</v>
      </c>
      <c r="AI171" s="5">
        <f t="shared" si="58"/>
        <v>207.03309392924601</v>
      </c>
      <c r="AJ171" s="5">
        <f t="shared" si="58"/>
        <v>202.61634782246597</v>
      </c>
      <c r="AK171" s="5">
        <f t="shared" si="58"/>
        <v>194.8084771487411</v>
      </c>
      <c r="AL171" s="5">
        <f t="shared" si="58"/>
        <v>192.46400887750971</v>
      </c>
      <c r="AM171" s="5">
        <f t="shared" si="58"/>
        <v>163.7257597261345</v>
      </c>
      <c r="AN171" s="5"/>
      <c r="AO171" s="5"/>
      <c r="AQ171">
        <f t="shared" si="43"/>
        <v>83.661216399999986</v>
      </c>
      <c r="AR171">
        <f t="shared" si="45"/>
        <v>24519.699999999997</v>
      </c>
    </row>
    <row r="172" spans="18:44" x14ac:dyDescent="0.2">
      <c r="R172">
        <f t="shared" si="40"/>
        <v>334</v>
      </c>
      <c r="S172">
        <v>1</v>
      </c>
      <c r="V172">
        <f t="shared" si="47"/>
        <v>334</v>
      </c>
      <c r="W172">
        <f t="shared" si="47"/>
        <v>14</v>
      </c>
      <c r="X172" s="57">
        <f t="shared" si="56"/>
        <v>102.867</v>
      </c>
      <c r="Y172" s="57">
        <f t="shared" si="56"/>
        <v>104.08199999999999</v>
      </c>
      <c r="Z172" s="57">
        <f t="shared" si="56"/>
        <v>102.52799999999999</v>
      </c>
      <c r="AA172" s="57">
        <f t="shared" si="56"/>
        <v>89.157000000000011</v>
      </c>
      <c r="AB172" s="57">
        <f t="shared" si="56"/>
        <v>75.045999999999992</v>
      </c>
      <c r="AC172" s="57">
        <f t="shared" si="56"/>
        <v>75.716000000000008</v>
      </c>
      <c r="AD172" s="57">
        <f t="shared" si="56"/>
        <v>75.249000000000009</v>
      </c>
      <c r="AE172" s="6">
        <f t="shared" ref="AE172:AM172" si="59">AE114</f>
        <v>72.675438800000009</v>
      </c>
      <c r="AF172" s="6">
        <f t="shared" si="59"/>
        <v>78.096359699999994</v>
      </c>
      <c r="AG172" s="6">
        <f t="shared" si="59"/>
        <v>72.844247899999999</v>
      </c>
      <c r="AH172" s="6">
        <f t="shared" si="59"/>
        <v>72.277168799999998</v>
      </c>
      <c r="AI172" s="6">
        <f t="shared" si="59"/>
        <v>68.734581600000013</v>
      </c>
      <c r="AJ172" s="6">
        <f t="shared" si="59"/>
        <v>77.012437599999998</v>
      </c>
      <c r="AK172" s="6">
        <f t="shared" si="59"/>
        <v>78.075475600000004</v>
      </c>
      <c r="AL172" s="6">
        <f t="shared" si="59"/>
        <v>78.33429000000001</v>
      </c>
      <c r="AM172" s="6">
        <f t="shared" si="59"/>
        <v>75.152831599999999</v>
      </c>
      <c r="AN172" s="6"/>
      <c r="AO172" s="6"/>
      <c r="AQ172">
        <f t="shared" si="43"/>
        <v>106.67549759999999</v>
      </c>
      <c r="AR172">
        <f t="shared" si="45"/>
        <v>31264.799999999999</v>
      </c>
    </row>
    <row r="173" spans="18:44" x14ac:dyDescent="0.2">
      <c r="R173">
        <f t="shared" si="40"/>
        <v>335</v>
      </c>
      <c r="S173">
        <v>1</v>
      </c>
      <c r="V173">
        <f t="shared" si="47"/>
        <v>335</v>
      </c>
      <c r="W173">
        <f t="shared" si="47"/>
        <v>15</v>
      </c>
      <c r="X173" s="57">
        <f t="shared" si="56"/>
        <v>118.36</v>
      </c>
      <c r="Y173" s="57">
        <f t="shared" si="56"/>
        <v>117.557</v>
      </c>
      <c r="Z173" s="57">
        <f t="shared" si="56"/>
        <v>123.46999999999998</v>
      </c>
      <c r="AA173" s="57">
        <f t="shared" si="56"/>
        <v>120.851</v>
      </c>
      <c r="AB173" s="57">
        <f t="shared" si="56"/>
        <v>107.24499999999999</v>
      </c>
      <c r="AC173" s="57">
        <f t="shared" si="56"/>
        <v>92.859000000000009</v>
      </c>
      <c r="AD173" s="57">
        <f t="shared" si="56"/>
        <v>98.213000000000008</v>
      </c>
      <c r="AE173" s="6">
        <f t="shared" ref="AE173:AM173" si="60">AE132</f>
        <v>94.895876000000001</v>
      </c>
      <c r="AF173" s="6">
        <f t="shared" si="60"/>
        <v>96.949511008000002</v>
      </c>
      <c r="AG173" s="6">
        <f t="shared" si="60"/>
        <v>97.641498591999991</v>
      </c>
      <c r="AH173" s="6">
        <f t="shared" si="60"/>
        <v>88.607133600000012</v>
      </c>
      <c r="AI173" s="6">
        <f t="shared" si="60"/>
        <v>84.092159199999998</v>
      </c>
      <c r="AJ173" s="6">
        <f t="shared" si="60"/>
        <v>80.024508800000007</v>
      </c>
      <c r="AK173" s="6">
        <f t="shared" si="60"/>
        <v>83.614738400000007</v>
      </c>
      <c r="AL173" s="6">
        <f t="shared" si="60"/>
        <v>80.710363199999989</v>
      </c>
      <c r="AM173" s="6">
        <f t="shared" si="60"/>
        <v>70.481624800000006</v>
      </c>
      <c r="AN173" s="6"/>
      <c r="AO173" s="6"/>
      <c r="AQ173">
        <f t="shared" si="43"/>
        <v>43.329670399999998</v>
      </c>
      <c r="AR173">
        <f t="shared" si="45"/>
        <v>12699.199999999999</v>
      </c>
    </row>
    <row r="174" spans="18:44" x14ac:dyDescent="0.2">
      <c r="R174">
        <f t="shared" si="40"/>
        <v>336</v>
      </c>
      <c r="S174">
        <v>1</v>
      </c>
      <c r="V174">
        <f t="shared" si="47"/>
        <v>336</v>
      </c>
      <c r="W174">
        <f t="shared" si="47"/>
        <v>16</v>
      </c>
      <c r="X174" s="57">
        <f t="shared" si="56"/>
        <v>266.45600000000002</v>
      </c>
      <c r="Y174" s="57">
        <f t="shared" si="56"/>
        <v>279.03300000000002</v>
      </c>
      <c r="Z174" s="57">
        <f t="shared" si="56"/>
        <v>285.73</v>
      </c>
      <c r="AA174" s="57">
        <f t="shared" si="56"/>
        <v>267.85900000000004</v>
      </c>
      <c r="AB174" s="57">
        <f t="shared" si="56"/>
        <v>254.50400000000002</v>
      </c>
      <c r="AC174" s="57">
        <f t="shared" si="56"/>
        <v>239.07300000000001</v>
      </c>
      <c r="AD174" s="57">
        <f t="shared" si="56"/>
        <v>262.28500000000003</v>
      </c>
      <c r="AE174" s="6">
        <f t="shared" ref="AE174:AM174" si="61">AE134</f>
        <v>278.15656079999997</v>
      </c>
      <c r="AF174" s="6">
        <f t="shared" si="61"/>
        <v>285.75514625200003</v>
      </c>
      <c r="AG174" s="6">
        <f t="shared" si="61"/>
        <v>269.87077974800002</v>
      </c>
      <c r="AH174" s="6">
        <f t="shared" si="61"/>
        <v>236.73036520000002</v>
      </c>
      <c r="AI174" s="6">
        <f t="shared" si="61"/>
        <v>224.43536800000001</v>
      </c>
      <c r="AJ174" s="6">
        <f t="shared" si="61"/>
        <v>207.48447039999999</v>
      </c>
      <c r="AK174" s="6">
        <f t="shared" si="61"/>
        <v>232.71165439999999</v>
      </c>
      <c r="AL174" s="6">
        <f t="shared" si="61"/>
        <v>241.38694399999997</v>
      </c>
      <c r="AM174" s="6">
        <f t="shared" si="61"/>
        <v>214.73696159999997</v>
      </c>
      <c r="AN174" s="6"/>
      <c r="AO174" s="6"/>
      <c r="AQ174">
        <f t="shared" si="43"/>
        <v>149.9430696</v>
      </c>
      <c r="AR174">
        <f t="shared" si="45"/>
        <v>43945.799999999996</v>
      </c>
    </row>
    <row r="175" spans="18:44" x14ac:dyDescent="0.2">
      <c r="R175">
        <f t="shared" si="40"/>
        <v>337</v>
      </c>
      <c r="S175">
        <v>1</v>
      </c>
      <c r="V175">
        <f t="shared" si="47"/>
        <v>337</v>
      </c>
      <c r="W175">
        <f t="shared" si="47"/>
        <v>17</v>
      </c>
      <c r="X175" s="57">
        <f>X42+X149</f>
        <v>45.286680000000004</v>
      </c>
      <c r="Y175" s="57">
        <f t="shared" ref="Y175:AM175" si="62">Y42+Y149</f>
        <v>49.092039999999997</v>
      </c>
      <c r="Z175" s="57">
        <f t="shared" si="62"/>
        <v>54.895079999999993</v>
      </c>
      <c r="AA175" s="57">
        <f t="shared" si="62"/>
        <v>48.100439999999999</v>
      </c>
      <c r="AB175" s="57">
        <f t="shared" si="62"/>
        <v>48.962119999999999</v>
      </c>
      <c r="AC175" s="57">
        <f t="shared" si="62"/>
        <v>41.463999999999999</v>
      </c>
      <c r="AD175" s="57">
        <f t="shared" si="62"/>
        <v>41.23442</v>
      </c>
      <c r="AE175" s="57">
        <f t="shared" si="62"/>
        <v>44.875160000000001</v>
      </c>
      <c r="AF175" s="57">
        <f t="shared" si="62"/>
        <v>47.448480000000004</v>
      </c>
      <c r="AG175" s="57">
        <f t="shared" si="62"/>
        <v>45.180019999999999</v>
      </c>
      <c r="AH175" s="57">
        <f t="shared" si="62"/>
        <v>41.163460000000001</v>
      </c>
      <c r="AI175" s="57">
        <f t="shared" si="62"/>
        <v>38.447760000000002</v>
      </c>
      <c r="AJ175" s="57">
        <f t="shared" si="62"/>
        <v>35.440660000000001</v>
      </c>
      <c r="AK175" s="57">
        <f t="shared" si="62"/>
        <v>37.555218245039889</v>
      </c>
      <c r="AL175" s="57">
        <f t="shared" si="62"/>
        <v>41.643002376237618</v>
      </c>
      <c r="AM175" s="57">
        <f t="shared" si="62"/>
        <v>40.660283116883122</v>
      </c>
      <c r="AQ175">
        <f t="shared" si="43"/>
        <v>21.677459599999995</v>
      </c>
      <c r="AR175">
        <f t="shared" si="45"/>
        <v>6353.2999999999993</v>
      </c>
    </row>
    <row r="176" spans="18:44" x14ac:dyDescent="0.2">
      <c r="R176">
        <f t="shared" si="40"/>
        <v>339</v>
      </c>
      <c r="S176">
        <v>1</v>
      </c>
      <c r="V176">
        <f t="shared" si="47"/>
        <v>339</v>
      </c>
      <c r="W176">
        <f t="shared" si="47"/>
        <v>18</v>
      </c>
      <c r="X176" s="57">
        <f t="shared" ref="X176:AD176" si="63">$S176*X43</f>
        <v>39.082000000000001</v>
      </c>
      <c r="Y176" s="57">
        <f t="shared" si="63"/>
        <v>41.152999999999999</v>
      </c>
      <c r="Z176" s="57">
        <f t="shared" si="63"/>
        <v>46.9</v>
      </c>
      <c r="AA176" s="57">
        <f t="shared" si="63"/>
        <v>40.066000000000003</v>
      </c>
      <c r="AB176" s="57">
        <f t="shared" si="63"/>
        <v>35.384999999999998</v>
      </c>
      <c r="AC176" s="57">
        <f t="shared" si="63"/>
        <v>32.04</v>
      </c>
      <c r="AD176" s="57">
        <f t="shared" si="63"/>
        <v>31.736999999999998</v>
      </c>
      <c r="AE176" s="6">
        <f t="shared" ref="AE176:AM176" si="64">AE115</f>
        <v>35.608561199999997</v>
      </c>
      <c r="AF176" s="6">
        <f t="shared" si="64"/>
        <v>37.2356403</v>
      </c>
      <c r="AG176" s="6">
        <f t="shared" si="64"/>
        <v>36.170752100000001</v>
      </c>
      <c r="AH176" s="6">
        <f t="shared" si="64"/>
        <v>34.477831199999997</v>
      </c>
      <c r="AI176" s="6">
        <f t="shared" si="64"/>
        <v>32.277418400000002</v>
      </c>
      <c r="AJ176" s="6">
        <f t="shared" si="64"/>
        <v>28.9135624</v>
      </c>
      <c r="AK176" s="6">
        <f t="shared" si="64"/>
        <v>31.048524400000002</v>
      </c>
      <c r="AL176" s="6">
        <f t="shared" si="64"/>
        <v>31.26371</v>
      </c>
      <c r="AM176" s="6">
        <f t="shared" si="64"/>
        <v>27.728168400000001</v>
      </c>
      <c r="AN176" s="6"/>
      <c r="AO176" s="6"/>
      <c r="AQ176">
        <f t="shared" si="43"/>
        <v>25.476380399999996</v>
      </c>
      <c r="AR176">
        <f t="shared" si="45"/>
        <v>7466.7</v>
      </c>
    </row>
    <row r="178" spans="19:41" x14ac:dyDescent="0.2">
      <c r="S178">
        <f>SUM(AE165:AE169)+SUM(AE159:AE161)+AE163+AE162</f>
        <v>13213.957839999999</v>
      </c>
      <c r="T178" s="52" t="s">
        <v>245</v>
      </c>
      <c r="X178" s="57">
        <f>SUM(X165:X169)+SUM(X159:X161)+X163</f>
        <v>12572.588</v>
      </c>
      <c r="Y178" s="57">
        <f t="shared" ref="Y178:AD178" si="65">SUM(Y165:Y169)+SUM(Y159:Y161)+Y163</f>
        <v>12607.430000000002</v>
      </c>
      <c r="Z178" s="57">
        <f t="shared" si="65"/>
        <v>13074.674999999999</v>
      </c>
      <c r="AA178" s="57">
        <f t="shared" si="65"/>
        <v>13405.790999999999</v>
      </c>
      <c r="AB178" s="57">
        <f t="shared" si="65"/>
        <v>13434.847</v>
      </c>
      <c r="AC178" s="57">
        <f t="shared" si="65"/>
        <v>12121.116</v>
      </c>
      <c r="AD178" s="57">
        <f t="shared" si="65"/>
        <v>12662.231</v>
      </c>
      <c r="AE178">
        <f>SUM(AE159:AE177)</f>
        <v>14289.543560000004</v>
      </c>
    </row>
    <row r="179" spans="19:41" x14ac:dyDescent="0.2">
      <c r="T179" s="52" t="s">
        <v>244</v>
      </c>
      <c r="X179" s="57">
        <f t="shared" ref="X179:AD179" si="66">X45</f>
        <v>12572.588</v>
      </c>
      <c r="Y179" s="57">
        <f t="shared" si="66"/>
        <v>12607.430000000002</v>
      </c>
      <c r="Z179" s="57">
        <f t="shared" si="66"/>
        <v>13074.674999999999</v>
      </c>
      <c r="AA179" s="57">
        <f t="shared" si="66"/>
        <v>13405.790999999999</v>
      </c>
      <c r="AB179" s="57">
        <f t="shared" si="66"/>
        <v>13434.847</v>
      </c>
      <c r="AC179" s="57">
        <f t="shared" si="66"/>
        <v>12121.116</v>
      </c>
      <c r="AD179" s="57">
        <f t="shared" si="66"/>
        <v>12662.231</v>
      </c>
    </row>
    <row r="181" spans="19:41" x14ac:dyDescent="0.2">
      <c r="T181" s="52" t="s">
        <v>246</v>
      </c>
      <c r="X181" s="57">
        <f>SUM(X159:X176)-X178-X164</f>
        <v>1636.4410000000018</v>
      </c>
      <c r="Y181" s="57">
        <f t="shared" ref="Y181:AD181" si="67">SUM(Y159:Y176)-Y178-Y164</f>
        <v>1638.9299999999948</v>
      </c>
      <c r="Z181" s="57">
        <f t="shared" si="67"/>
        <v>1707.047999999997</v>
      </c>
      <c r="AA181" s="57">
        <f t="shared" si="67"/>
        <v>1644.0250000000035</v>
      </c>
      <c r="AB181" s="57">
        <f t="shared" si="67"/>
        <v>1531.9590000000019</v>
      </c>
      <c r="AC181" s="57">
        <f t="shared" si="67"/>
        <v>1422.5149999999999</v>
      </c>
      <c r="AD181" s="57">
        <f t="shared" si="67"/>
        <v>1480.9969999999992</v>
      </c>
    </row>
    <row r="182" spans="19:41" x14ac:dyDescent="0.2">
      <c r="T182" s="52" t="s">
        <v>247</v>
      </c>
      <c r="X182" s="57">
        <f t="shared" ref="X182:AD182" si="68">X46</f>
        <v>1636.4410000000016</v>
      </c>
      <c r="Y182" s="57">
        <f t="shared" si="68"/>
        <v>1638.929999999996</v>
      </c>
      <c r="Z182" s="57">
        <f t="shared" si="68"/>
        <v>1707.0479999999986</v>
      </c>
      <c r="AA182" s="57">
        <f t="shared" si="68"/>
        <v>1644.0250000000021</v>
      </c>
      <c r="AB182" s="57">
        <f t="shared" si="68"/>
        <v>1531.959000000001</v>
      </c>
      <c r="AC182" s="57">
        <f t="shared" si="68"/>
        <v>1422.5150000000017</v>
      </c>
      <c r="AD182" s="57">
        <f t="shared" si="68"/>
        <v>1480.9969999999985</v>
      </c>
    </row>
    <row r="183" spans="19:41" x14ac:dyDescent="0.2">
      <c r="X183">
        <f>X182/X181</f>
        <v>0.99999999999999989</v>
      </c>
      <c r="Y183">
        <f t="shared" ref="Y183:AD183" si="69">Y182/Y181</f>
        <v>1.0000000000000007</v>
      </c>
      <c r="Z183">
        <f t="shared" si="69"/>
        <v>1.0000000000000009</v>
      </c>
      <c r="AA183">
        <f t="shared" si="69"/>
        <v>0.99999999999999922</v>
      </c>
      <c r="AB183">
        <f t="shared" si="69"/>
        <v>0.99999999999999944</v>
      </c>
      <c r="AC183">
        <f t="shared" si="69"/>
        <v>1.0000000000000013</v>
      </c>
      <c r="AD183">
        <f t="shared" si="69"/>
        <v>0.99999999999999956</v>
      </c>
    </row>
    <row r="185" spans="19:41" x14ac:dyDescent="0.2">
      <c r="X185" s="57">
        <f>SUM(X159:X176)</f>
        <v>14249.999384449246</v>
      </c>
      <c r="Y185" s="57">
        <f t="shared" ref="Y185:AD185" si="70">SUM(Y159:Y176)</f>
        <v>14285.558826086954</v>
      </c>
      <c r="Z185" s="57">
        <f t="shared" si="70"/>
        <v>14820.403439999996</v>
      </c>
      <c r="AA185" s="57">
        <f t="shared" si="70"/>
        <v>15085.888640000003</v>
      </c>
      <c r="AB185" s="57">
        <f t="shared" si="70"/>
        <v>14996.696080000002</v>
      </c>
      <c r="AC185" s="57">
        <f t="shared" si="70"/>
        <v>13575.86572</v>
      </c>
      <c r="AD185" s="57">
        <f t="shared" si="70"/>
        <v>14169.344079999999</v>
      </c>
    </row>
    <row r="188" spans="19:41" x14ac:dyDescent="0.2">
      <c r="X188">
        <f>1970</f>
        <v>1970</v>
      </c>
      <c r="Y188">
        <f>X188+1</f>
        <v>1971</v>
      </c>
      <c r="Z188">
        <f t="shared" ref="Z188:AO188" si="71">Y188+1</f>
        <v>1972</v>
      </c>
      <c r="AA188">
        <f t="shared" si="71"/>
        <v>1973</v>
      </c>
      <c r="AB188">
        <f t="shared" si="71"/>
        <v>1974</v>
      </c>
      <c r="AC188">
        <f t="shared" si="71"/>
        <v>1975</v>
      </c>
      <c r="AD188">
        <f t="shared" si="71"/>
        <v>1976</v>
      </c>
      <c r="AE188">
        <f t="shared" si="71"/>
        <v>1977</v>
      </c>
      <c r="AF188">
        <f t="shared" si="71"/>
        <v>1978</v>
      </c>
      <c r="AG188">
        <f t="shared" si="71"/>
        <v>1979</v>
      </c>
      <c r="AH188">
        <f t="shared" si="71"/>
        <v>1980</v>
      </c>
      <c r="AI188">
        <f t="shared" si="71"/>
        <v>1981</v>
      </c>
      <c r="AJ188">
        <f t="shared" si="71"/>
        <v>1982</v>
      </c>
      <c r="AK188">
        <f t="shared" si="71"/>
        <v>1983</v>
      </c>
      <c r="AL188">
        <f t="shared" si="71"/>
        <v>1984</v>
      </c>
      <c r="AM188">
        <f t="shared" si="71"/>
        <v>1985</v>
      </c>
      <c r="AN188">
        <f t="shared" si="71"/>
        <v>1986</v>
      </c>
      <c r="AO188">
        <f t="shared" si="71"/>
        <v>1987</v>
      </c>
    </row>
    <row r="189" spans="19:41" x14ac:dyDescent="0.2">
      <c r="V189" t="s">
        <v>12</v>
      </c>
      <c r="W189">
        <v>1</v>
      </c>
      <c r="X189" s="59">
        <f t="shared" ref="X189:AO204" si="72">X159</f>
        <v>882.41100000000006</v>
      </c>
      <c r="Y189" s="59">
        <f t="shared" si="72"/>
        <v>896.35400000000004</v>
      </c>
      <c r="Z189" s="59">
        <f t="shared" si="72"/>
        <v>889.75599999999997</v>
      </c>
      <c r="AA189" s="59">
        <f t="shared" si="72"/>
        <v>863.04500000000007</v>
      </c>
      <c r="AB189" s="59">
        <f t="shared" si="72"/>
        <v>788.71900000000005</v>
      </c>
      <c r="AC189" s="59">
        <f t="shared" si="72"/>
        <v>791.38300000000004</v>
      </c>
      <c r="AD189" s="59">
        <f t="shared" si="72"/>
        <v>795.08199999999999</v>
      </c>
      <c r="AE189" s="60">
        <f t="shared" si="72"/>
        <v>803.29600000000005</v>
      </c>
      <c r="AF189" s="60">
        <f t="shared" si="72"/>
        <v>826.99199999999996</v>
      </c>
      <c r="AG189" s="60">
        <f t="shared" si="72"/>
        <v>798.23899999999992</v>
      </c>
      <c r="AH189" s="60">
        <f t="shared" si="72"/>
        <v>793.90499999999997</v>
      </c>
      <c r="AI189" s="60">
        <f t="shared" si="72"/>
        <v>750.38799999999992</v>
      </c>
      <c r="AJ189" s="60">
        <f t="shared" si="72"/>
        <v>767.68</v>
      </c>
      <c r="AK189" s="60">
        <f t="shared" si="72"/>
        <v>797.24399999999991</v>
      </c>
      <c r="AL189" s="60">
        <f t="shared" si="72"/>
        <v>791.21399999999994</v>
      </c>
      <c r="AM189" s="60">
        <f t="shared" si="72"/>
        <v>700.952</v>
      </c>
      <c r="AN189" s="60">
        <f t="shared" si="72"/>
        <v>0</v>
      </c>
      <c r="AO189" s="60">
        <f t="shared" si="72"/>
        <v>0</v>
      </c>
    </row>
    <row r="190" spans="19:41" x14ac:dyDescent="0.2">
      <c r="V190" t="s">
        <v>13</v>
      </c>
      <c r="W190">
        <v>2</v>
      </c>
      <c r="X190" s="59">
        <f t="shared" si="72"/>
        <v>254.73499999999999</v>
      </c>
      <c r="Y190" s="59">
        <f t="shared" si="72"/>
        <v>271.54899999999998</v>
      </c>
      <c r="Z190" s="59">
        <f t="shared" si="72"/>
        <v>273.87000000000006</v>
      </c>
      <c r="AA190" s="59">
        <f t="shared" si="72"/>
        <v>252.18700000000001</v>
      </c>
      <c r="AB190" s="59">
        <f t="shared" si="72"/>
        <v>220.44800000000001</v>
      </c>
      <c r="AC190" s="59">
        <f t="shared" si="72"/>
        <v>219.798</v>
      </c>
      <c r="AD190" s="59">
        <f t="shared" si="72"/>
        <v>230.82899999999998</v>
      </c>
      <c r="AE190" s="60">
        <f t="shared" si="72"/>
        <v>243.09300000000002</v>
      </c>
      <c r="AF190" s="60">
        <f t="shared" si="72"/>
        <v>238.75</v>
      </c>
      <c r="AG190" s="60">
        <f t="shared" si="72"/>
        <v>225.91599999999997</v>
      </c>
      <c r="AH190" s="60">
        <f t="shared" si="72"/>
        <v>208.69900000000001</v>
      </c>
      <c r="AI190" s="60">
        <f t="shared" si="72"/>
        <v>203.875</v>
      </c>
      <c r="AJ190" s="60">
        <f t="shared" si="72"/>
        <v>180.465</v>
      </c>
      <c r="AK190" s="60">
        <f t="shared" si="72"/>
        <v>202.08600000000001</v>
      </c>
      <c r="AL190" s="60">
        <f t="shared" si="72"/>
        <v>198.92</v>
      </c>
      <c r="AM190" s="60">
        <f t="shared" si="72"/>
        <v>176.35299999999998</v>
      </c>
      <c r="AN190" s="60">
        <f t="shared" si="72"/>
        <v>0</v>
      </c>
      <c r="AO190" s="60">
        <f t="shared" si="72"/>
        <v>0</v>
      </c>
    </row>
    <row r="191" spans="19:41" x14ac:dyDescent="0.2">
      <c r="V191" t="s">
        <v>14</v>
      </c>
      <c r="W191">
        <v>3</v>
      </c>
      <c r="X191" s="59">
        <f t="shared" si="72"/>
        <v>65.762</v>
      </c>
      <c r="Y191" s="59">
        <f t="shared" si="72"/>
        <v>62.195999999999998</v>
      </c>
      <c r="Z191" s="59">
        <f t="shared" si="72"/>
        <v>58.408000000000001</v>
      </c>
      <c r="AA191" s="59">
        <f t="shared" si="72"/>
        <v>49.652999999999999</v>
      </c>
      <c r="AB191" s="59">
        <f t="shared" si="72"/>
        <v>42.930999999999997</v>
      </c>
      <c r="AC191" s="59">
        <f t="shared" si="72"/>
        <v>41.317</v>
      </c>
      <c r="AD191" s="59">
        <f t="shared" si="72"/>
        <v>40.389999999999993</v>
      </c>
      <c r="AE191" s="60">
        <f t="shared" si="72"/>
        <v>44.045000000000002</v>
      </c>
      <c r="AF191" s="60">
        <f t="shared" si="72"/>
        <v>45.826999999999998</v>
      </c>
      <c r="AG191" s="60">
        <f t="shared" si="72"/>
        <v>41.187999999999995</v>
      </c>
      <c r="AH191" s="60">
        <f t="shared" si="72"/>
        <v>40.210999999999999</v>
      </c>
      <c r="AI191" s="60">
        <f t="shared" si="72"/>
        <v>40.091999999999999</v>
      </c>
      <c r="AJ191" s="60">
        <f t="shared" si="72"/>
        <v>32.204000000000001</v>
      </c>
      <c r="AK191" s="60">
        <f t="shared" si="72"/>
        <v>35.009</v>
      </c>
      <c r="AL191" s="60">
        <f t="shared" si="72"/>
        <v>30.833999999999996</v>
      </c>
      <c r="AM191" s="60">
        <f t="shared" si="72"/>
        <v>26.388000000000002</v>
      </c>
      <c r="AN191" s="60">
        <f t="shared" si="72"/>
        <v>0</v>
      </c>
      <c r="AO191" s="60">
        <f t="shared" si="72"/>
        <v>0</v>
      </c>
    </row>
    <row r="192" spans="19:41" x14ac:dyDescent="0.2">
      <c r="V192">
        <v>321</v>
      </c>
      <c r="W192">
        <v>4</v>
      </c>
      <c r="X192" s="59">
        <f t="shared" si="72"/>
        <v>428.48932000000002</v>
      </c>
      <c r="Y192" s="59">
        <f t="shared" si="72"/>
        <v>420.42196000000001</v>
      </c>
      <c r="Z192" s="59">
        <f t="shared" si="72"/>
        <v>440.85692</v>
      </c>
      <c r="AA192" s="59">
        <f t="shared" si="72"/>
        <v>454.15356000000003</v>
      </c>
      <c r="AB192" s="59">
        <f t="shared" si="72"/>
        <v>434.34187999999995</v>
      </c>
      <c r="AC192" s="59">
        <f t="shared" si="72"/>
        <v>406.74900000000002</v>
      </c>
      <c r="AD192" s="59">
        <f t="shared" si="72"/>
        <v>439.50157999999999</v>
      </c>
      <c r="AE192" s="59">
        <f t="shared" si="72"/>
        <v>436.10784000000001</v>
      </c>
      <c r="AF192" s="59">
        <f t="shared" si="72"/>
        <v>475.66652000000005</v>
      </c>
      <c r="AG192" s="59">
        <f t="shared" si="72"/>
        <v>474.41897999999998</v>
      </c>
      <c r="AH192" s="59">
        <f t="shared" si="72"/>
        <v>446.41254000000004</v>
      </c>
      <c r="AI192" s="59">
        <f t="shared" si="72"/>
        <v>442.26223999999996</v>
      </c>
      <c r="AJ192" s="59">
        <f t="shared" si="72"/>
        <v>386.00533999999999</v>
      </c>
      <c r="AK192" s="59">
        <f t="shared" si="72"/>
        <v>424.63278175496015</v>
      </c>
      <c r="AL192" s="59">
        <f t="shared" si="72"/>
        <v>447.97899762376233</v>
      </c>
      <c r="AM192" s="59">
        <f t="shared" si="72"/>
        <v>457.26071688311697</v>
      </c>
      <c r="AN192" s="59">
        <f t="shared" si="72"/>
        <v>0</v>
      </c>
      <c r="AO192" s="59">
        <f t="shared" si="72"/>
        <v>0</v>
      </c>
    </row>
    <row r="193" spans="22:41" x14ac:dyDescent="0.2">
      <c r="V193">
        <v>322</v>
      </c>
      <c r="W193">
        <v>5</v>
      </c>
      <c r="X193" s="61">
        <f t="shared" ref="X193:AD193" si="73">X163</f>
        <v>1839.306</v>
      </c>
      <c r="Y193" s="61">
        <f t="shared" si="73"/>
        <v>1946.539</v>
      </c>
      <c r="Z193" s="61">
        <f t="shared" si="73"/>
        <v>2036.461</v>
      </c>
      <c r="AA193" s="61">
        <f t="shared" si="73"/>
        <v>2000.1790000000001</v>
      </c>
      <c r="AB193" s="61">
        <f t="shared" si="73"/>
        <v>2019.8880000000001</v>
      </c>
      <c r="AC193" s="61">
        <f t="shared" si="73"/>
        <v>1859.2450000000001</v>
      </c>
      <c r="AD193" s="61">
        <f t="shared" si="73"/>
        <v>2033.7089999999998</v>
      </c>
      <c r="AE193" s="60">
        <f t="shared" si="72"/>
        <v>2087.9460000000004</v>
      </c>
      <c r="AF193" s="60">
        <f t="shared" si="72"/>
        <v>2147.0419999999999</v>
      </c>
      <c r="AG193" s="60">
        <f t="shared" si="72"/>
        <v>2142.8770000000004</v>
      </c>
      <c r="AH193" s="60">
        <f t="shared" si="72"/>
        <v>2086.7080000000001</v>
      </c>
      <c r="AI193" s="60">
        <f t="shared" si="72"/>
        <v>2134.06</v>
      </c>
      <c r="AJ193" s="60">
        <f t="shared" si="72"/>
        <v>2024.623</v>
      </c>
      <c r="AK193" s="60">
        <f t="shared" si="72"/>
        <v>2211.1129999999998</v>
      </c>
      <c r="AL193" s="60">
        <f t="shared" si="72"/>
        <v>2279.723</v>
      </c>
      <c r="AM193" s="60">
        <f t="shared" si="72"/>
        <v>2212.8360000000002</v>
      </c>
      <c r="AN193" s="60">
        <f t="shared" si="72"/>
        <v>0</v>
      </c>
      <c r="AO193" s="60">
        <f t="shared" si="72"/>
        <v>0</v>
      </c>
    </row>
    <row r="194" spans="22:41" x14ac:dyDescent="0.2">
      <c r="V194">
        <v>323</v>
      </c>
      <c r="W194">
        <v>6</v>
      </c>
      <c r="X194" s="59">
        <f t="shared" ref="X194:AD194" si="74">X164*X$183</f>
        <v>40.970384449244058</v>
      </c>
      <c r="Y194" s="59">
        <f t="shared" si="74"/>
        <v>39.198826086956551</v>
      </c>
      <c r="Z194" s="59">
        <f t="shared" si="74"/>
        <v>38.68044000000004</v>
      </c>
      <c r="AA194" s="59">
        <f t="shared" si="74"/>
        <v>36.072639999999971</v>
      </c>
      <c r="AB194" s="59">
        <f t="shared" si="74"/>
        <v>29.890079999999983</v>
      </c>
      <c r="AC194" s="59">
        <f t="shared" si="74"/>
        <v>32.234720000000046</v>
      </c>
      <c r="AD194" s="59">
        <f t="shared" si="74"/>
        <v>26.116079999999986</v>
      </c>
      <c r="AE194" s="60">
        <f t="shared" si="72"/>
        <v>31.614559999999997</v>
      </c>
      <c r="AF194" s="60">
        <f t="shared" si="72"/>
        <v>31.79748</v>
      </c>
      <c r="AG194" s="60">
        <f t="shared" si="72"/>
        <v>34.863600000000005</v>
      </c>
      <c r="AH194" s="60">
        <f t="shared" si="72"/>
        <v>33.957840000000004</v>
      </c>
      <c r="AI194" s="60">
        <f t="shared" si="72"/>
        <v>33.96396</v>
      </c>
      <c r="AJ194" s="60">
        <f t="shared" si="72"/>
        <v>35.689799999999998</v>
      </c>
      <c r="AK194" s="60">
        <f t="shared" si="72"/>
        <v>37.516514446529079</v>
      </c>
      <c r="AL194" s="60">
        <f t="shared" si="72"/>
        <v>43.264868051118214</v>
      </c>
      <c r="AM194" s="60">
        <f t="shared" si="72"/>
        <v>36.112064236111109</v>
      </c>
      <c r="AN194" s="60">
        <f t="shared" si="72"/>
        <v>0</v>
      </c>
      <c r="AO194" s="60">
        <f t="shared" si="72"/>
        <v>0</v>
      </c>
    </row>
    <row r="195" spans="22:41" x14ac:dyDescent="0.2">
      <c r="V195">
        <v>324</v>
      </c>
      <c r="W195">
        <v>7</v>
      </c>
      <c r="X195" s="59">
        <f t="shared" ref="X195:AD199" si="75">X165</f>
        <v>2635.1559999999999</v>
      </c>
      <c r="Y195" s="59">
        <f t="shared" si="75"/>
        <v>2635.9049999999997</v>
      </c>
      <c r="Z195" s="59">
        <f t="shared" si="75"/>
        <v>2773.3790000000004</v>
      </c>
      <c r="AA195" s="59">
        <f t="shared" si="75"/>
        <v>2927.5309999999999</v>
      </c>
      <c r="AB195" s="59">
        <f t="shared" si="75"/>
        <v>2886.8559999999998</v>
      </c>
      <c r="AC195" s="59">
        <f t="shared" si="75"/>
        <v>2747.96</v>
      </c>
      <c r="AD195" s="59">
        <f t="shared" si="75"/>
        <v>2839.1610000000001</v>
      </c>
      <c r="AE195" s="60">
        <f t="shared" si="72"/>
        <v>2935.9290000000005</v>
      </c>
      <c r="AF195" s="60">
        <f t="shared" si="72"/>
        <v>2926.7709999999997</v>
      </c>
      <c r="AG195" s="60">
        <f t="shared" si="72"/>
        <v>2880.9909999999995</v>
      </c>
      <c r="AH195" s="60">
        <f t="shared" si="72"/>
        <v>2766.5080000000003</v>
      </c>
      <c r="AI195" s="60">
        <f t="shared" si="72"/>
        <v>2323.83</v>
      </c>
      <c r="AJ195" s="60">
        <f t="shared" si="72"/>
        <v>2303.2909999999997</v>
      </c>
      <c r="AK195" s="60">
        <f t="shared" si="72"/>
        <v>2329.6880000000001</v>
      </c>
      <c r="AL195" s="60">
        <f t="shared" si="72"/>
        <v>2352.5519999999997</v>
      </c>
      <c r="AM195" s="60">
        <f t="shared" si="72"/>
        <v>2377.5550000000003</v>
      </c>
      <c r="AN195" s="60">
        <f t="shared" si="72"/>
        <v>0</v>
      </c>
      <c r="AO195" s="60">
        <f t="shared" si="72"/>
        <v>0</v>
      </c>
    </row>
    <row r="196" spans="22:41" x14ac:dyDescent="0.2">
      <c r="V196">
        <v>325</v>
      </c>
      <c r="W196">
        <v>8</v>
      </c>
      <c r="X196" s="59">
        <f t="shared" si="75"/>
        <v>2110.4</v>
      </c>
      <c r="Y196" s="59">
        <f t="shared" si="75"/>
        <v>2174.7960000000003</v>
      </c>
      <c r="Z196" s="59">
        <f t="shared" si="75"/>
        <v>2188.2879999999996</v>
      </c>
      <c r="AA196" s="59">
        <f t="shared" si="75"/>
        <v>2223.35</v>
      </c>
      <c r="AB196" s="59">
        <f t="shared" si="75"/>
        <v>2532.9709999999995</v>
      </c>
      <c r="AC196" s="59">
        <f t="shared" si="75"/>
        <v>2246.998</v>
      </c>
      <c r="AD196" s="59">
        <f t="shared" si="75"/>
        <v>2381.0800000000004</v>
      </c>
      <c r="AE196" s="60">
        <f t="shared" si="72"/>
        <v>2323.116</v>
      </c>
      <c r="AF196" s="60">
        <f t="shared" si="72"/>
        <v>2225.5829999999996</v>
      </c>
      <c r="AG196" s="60">
        <f t="shared" si="72"/>
        <v>2242.2139999999999</v>
      </c>
      <c r="AH196" s="60">
        <f t="shared" si="72"/>
        <v>2108.2630000000004</v>
      </c>
      <c r="AI196" s="60">
        <f t="shared" si="72"/>
        <v>2047.1180000000002</v>
      </c>
      <c r="AJ196" s="60">
        <f t="shared" si="72"/>
        <v>1832.7389999999998</v>
      </c>
      <c r="AK196" s="60">
        <f t="shared" si="72"/>
        <v>1900.3729999999998</v>
      </c>
      <c r="AL196" s="60">
        <f t="shared" si="72"/>
        <v>1975.92</v>
      </c>
      <c r="AM196" s="60">
        <f t="shared" si="72"/>
        <v>1682.6429999999998</v>
      </c>
      <c r="AN196" s="60">
        <f t="shared" si="72"/>
        <v>0</v>
      </c>
      <c r="AO196" s="60">
        <f t="shared" si="72"/>
        <v>0</v>
      </c>
    </row>
    <row r="197" spans="22:41" x14ac:dyDescent="0.2">
      <c r="V197">
        <v>326</v>
      </c>
      <c r="W197">
        <v>9</v>
      </c>
      <c r="X197" s="59">
        <f t="shared" si="75"/>
        <v>153.815</v>
      </c>
      <c r="Y197" s="59">
        <f t="shared" si="75"/>
        <v>168.61500000000001</v>
      </c>
      <c r="Z197" s="59">
        <f t="shared" si="75"/>
        <v>202.60300000000001</v>
      </c>
      <c r="AA197" s="59">
        <f t="shared" si="75"/>
        <v>192.88800000000001</v>
      </c>
      <c r="AB197" s="59">
        <f t="shared" si="75"/>
        <v>177.321</v>
      </c>
      <c r="AC197" s="59">
        <f t="shared" si="75"/>
        <v>162.273</v>
      </c>
      <c r="AD197" s="59">
        <f t="shared" si="75"/>
        <v>166.16</v>
      </c>
      <c r="AE197" s="60">
        <f t="shared" si="72"/>
        <v>189.12100000000001</v>
      </c>
      <c r="AF197" s="60">
        <f t="shared" si="72"/>
        <v>177.24</v>
      </c>
      <c r="AG197" s="60">
        <f t="shared" si="72"/>
        <v>164.92099999999999</v>
      </c>
      <c r="AH197" s="60">
        <f t="shared" si="72"/>
        <v>143.93700000000001</v>
      </c>
      <c r="AI197" s="60">
        <f t="shared" si="72"/>
        <v>138.56399999999999</v>
      </c>
      <c r="AJ197" s="60">
        <f t="shared" si="72"/>
        <v>131.744</v>
      </c>
      <c r="AK197" s="60">
        <f t="shared" si="72"/>
        <v>139.148</v>
      </c>
      <c r="AL197" s="60">
        <f t="shared" si="72"/>
        <v>140.756</v>
      </c>
      <c r="AM197" s="60">
        <f t="shared" si="72"/>
        <v>124.17</v>
      </c>
      <c r="AN197" s="60">
        <f t="shared" si="72"/>
        <v>0</v>
      </c>
      <c r="AO197" s="60">
        <f t="shared" si="72"/>
        <v>0</v>
      </c>
    </row>
    <row r="198" spans="22:41" x14ac:dyDescent="0.2">
      <c r="V198">
        <v>327</v>
      </c>
      <c r="W198">
        <v>10</v>
      </c>
      <c r="X198" s="59">
        <f t="shared" si="75"/>
        <v>1130.8</v>
      </c>
      <c r="Y198" s="59">
        <f t="shared" si="75"/>
        <v>1183.4180000000001</v>
      </c>
      <c r="Z198" s="59">
        <f t="shared" si="75"/>
        <v>1223.6130000000001</v>
      </c>
      <c r="AA198" s="59">
        <f t="shared" si="75"/>
        <v>1173.731</v>
      </c>
      <c r="AB198" s="59">
        <f t="shared" si="75"/>
        <v>1180.029</v>
      </c>
      <c r="AC198" s="59">
        <f t="shared" si="75"/>
        <v>1047.886</v>
      </c>
      <c r="AD198" s="59">
        <f t="shared" si="75"/>
        <v>1094.931</v>
      </c>
      <c r="AE198" s="60">
        <f t="shared" si="72"/>
        <v>1121.758</v>
      </c>
      <c r="AF198" s="60">
        <f t="shared" si="72"/>
        <v>1135.1320000000001</v>
      </c>
      <c r="AG198" s="60">
        <f t="shared" si="72"/>
        <v>1123.7539999999999</v>
      </c>
      <c r="AH198" s="60">
        <f t="shared" si="72"/>
        <v>996.63300000000004</v>
      </c>
      <c r="AI198" s="60">
        <f t="shared" si="72"/>
        <v>950.66399999999999</v>
      </c>
      <c r="AJ198" s="60">
        <f t="shared" si="72"/>
        <v>794.495</v>
      </c>
      <c r="AK198" s="60">
        <f t="shared" si="72"/>
        <v>867.23099999999999</v>
      </c>
      <c r="AL198" s="60">
        <f t="shared" si="72"/>
        <v>877.29299999999989</v>
      </c>
      <c r="AM198" s="60">
        <f t="shared" si="72"/>
        <v>800.49400000000003</v>
      </c>
      <c r="AN198" s="60">
        <f t="shared" si="72"/>
        <v>0</v>
      </c>
      <c r="AO198" s="60">
        <f t="shared" si="72"/>
        <v>0</v>
      </c>
    </row>
    <row r="199" spans="22:41" x14ac:dyDescent="0.2">
      <c r="V199">
        <v>331</v>
      </c>
      <c r="W199">
        <v>11</v>
      </c>
      <c r="X199" s="59">
        <f t="shared" si="75"/>
        <v>3500.2030000000004</v>
      </c>
      <c r="Y199" s="59">
        <f t="shared" si="75"/>
        <v>3268.058</v>
      </c>
      <c r="Z199" s="59">
        <f t="shared" si="75"/>
        <v>3428.297</v>
      </c>
      <c r="AA199" s="59">
        <f t="shared" si="75"/>
        <v>3723.2270000000003</v>
      </c>
      <c r="AB199" s="59">
        <f t="shared" si="75"/>
        <v>3585.6839999999997</v>
      </c>
      <c r="AC199" s="59">
        <f t="shared" si="75"/>
        <v>3004.2560000000003</v>
      </c>
      <c r="AD199" s="59">
        <f t="shared" si="75"/>
        <v>3080.8889999999997</v>
      </c>
      <c r="AE199" s="60">
        <f t="shared" si="72"/>
        <v>3029.5459999999998</v>
      </c>
      <c r="AF199" s="60">
        <f t="shared" si="72"/>
        <v>3186.489</v>
      </c>
      <c r="AG199" s="60">
        <f t="shared" si="72"/>
        <v>3218.0230000000001</v>
      </c>
      <c r="AH199" s="60">
        <f t="shared" si="72"/>
        <v>2613.404</v>
      </c>
      <c r="AI199" s="60">
        <f t="shared" si="72"/>
        <v>2593.2039999999997</v>
      </c>
      <c r="AJ199" s="60">
        <f t="shared" si="72"/>
        <v>1756.1860000000001</v>
      </c>
      <c r="AK199" s="60">
        <f t="shared" si="72"/>
        <v>1930.2429999999999</v>
      </c>
      <c r="AL199" s="60">
        <f t="shared" si="72"/>
        <v>1930.7450000000001</v>
      </c>
      <c r="AM199" s="60">
        <f t="shared" si="72"/>
        <v>1749.29</v>
      </c>
      <c r="AN199" s="60">
        <f t="shared" si="72"/>
        <v>0</v>
      </c>
      <c r="AO199" s="60">
        <f t="shared" si="72"/>
        <v>0</v>
      </c>
    </row>
    <row r="200" spans="22:41" x14ac:dyDescent="0.2">
      <c r="V200">
        <v>332</v>
      </c>
      <c r="W200">
        <v>12</v>
      </c>
      <c r="X200" s="59">
        <f t="shared" ref="X200:AD206" si="76">X170*X$183</f>
        <v>352.20099999999996</v>
      </c>
      <c r="Y200" s="59">
        <f t="shared" si="76"/>
        <v>338.04900000000021</v>
      </c>
      <c r="Z200" s="59">
        <f t="shared" si="76"/>
        <v>351.06400000000031</v>
      </c>
      <c r="AA200" s="59">
        <f t="shared" si="76"/>
        <v>332.5269999999997</v>
      </c>
      <c r="AB200" s="59">
        <f t="shared" si="76"/>
        <v>299.91999999999979</v>
      </c>
      <c r="AC200" s="59">
        <f t="shared" si="76"/>
        <v>281.43400000000042</v>
      </c>
      <c r="AD200" s="59">
        <f t="shared" si="76"/>
        <v>283.89699999999988</v>
      </c>
      <c r="AE200" s="60">
        <f t="shared" si="72"/>
        <v>291.30298148503033</v>
      </c>
      <c r="AF200" s="60">
        <f t="shared" si="72"/>
        <v>302.1800505535565</v>
      </c>
      <c r="AG200" s="60">
        <f t="shared" si="72"/>
        <v>293.39466731729465</v>
      </c>
      <c r="AH200" s="60">
        <f t="shared" si="72"/>
        <v>274.22409723489739</v>
      </c>
      <c r="AI200" s="60">
        <f t="shared" si="72"/>
        <v>263.68937887075401</v>
      </c>
      <c r="AJ200" s="60">
        <f t="shared" si="72"/>
        <v>260.52167297753402</v>
      </c>
      <c r="AK200" s="60">
        <f t="shared" si="72"/>
        <v>258.73913005125894</v>
      </c>
      <c r="AL200" s="60">
        <f t="shared" si="72"/>
        <v>249.20168392249036</v>
      </c>
      <c r="AM200" s="60">
        <f t="shared" si="72"/>
        <v>223.25865387386554</v>
      </c>
      <c r="AN200" s="60">
        <f t="shared" si="72"/>
        <v>0</v>
      </c>
      <c r="AO200" s="60">
        <f t="shared" si="72"/>
        <v>0</v>
      </c>
    </row>
    <row r="201" spans="22:41" x14ac:dyDescent="0.2">
      <c r="V201">
        <v>333</v>
      </c>
      <c r="W201">
        <v>13</v>
      </c>
      <c r="X201" s="59">
        <f t="shared" si="76"/>
        <v>283.6989999999999</v>
      </c>
      <c r="Y201" s="59">
        <f t="shared" si="76"/>
        <v>289.5420000000002</v>
      </c>
      <c r="Z201" s="59">
        <f t="shared" si="76"/>
        <v>301.60400000000021</v>
      </c>
      <c r="AA201" s="59">
        <f t="shared" si="76"/>
        <v>291.31099999999975</v>
      </c>
      <c r="AB201" s="59">
        <f t="shared" si="76"/>
        <v>276.55499999999984</v>
      </c>
      <c r="AC201" s="59">
        <f t="shared" si="76"/>
        <v>253.18000000000035</v>
      </c>
      <c r="AD201" s="59">
        <f t="shared" si="76"/>
        <v>248.87999999999988</v>
      </c>
      <c r="AE201" s="60">
        <f t="shared" si="72"/>
        <v>226.4565817149697</v>
      </c>
      <c r="AF201" s="60">
        <f t="shared" si="72"/>
        <v>233.96929218644354</v>
      </c>
      <c r="AG201" s="60">
        <f t="shared" si="72"/>
        <v>236.75405434270533</v>
      </c>
      <c r="AH201" s="60">
        <f t="shared" si="72"/>
        <v>220.94440396510262</v>
      </c>
      <c r="AI201" s="60">
        <f t="shared" si="72"/>
        <v>207.03309392924601</v>
      </c>
      <c r="AJ201" s="60">
        <f t="shared" si="72"/>
        <v>202.61634782246597</v>
      </c>
      <c r="AK201" s="60">
        <f t="shared" si="72"/>
        <v>194.8084771487411</v>
      </c>
      <c r="AL201" s="60">
        <f t="shared" si="72"/>
        <v>192.46400887750971</v>
      </c>
      <c r="AM201" s="60">
        <f t="shared" si="72"/>
        <v>163.7257597261345</v>
      </c>
      <c r="AN201" s="60">
        <f t="shared" si="72"/>
        <v>0</v>
      </c>
      <c r="AO201" s="60">
        <f t="shared" si="72"/>
        <v>0</v>
      </c>
    </row>
    <row r="202" spans="22:41" x14ac:dyDescent="0.2">
      <c r="V202">
        <v>334</v>
      </c>
      <c r="W202">
        <v>14</v>
      </c>
      <c r="X202" s="59">
        <f t="shared" si="76"/>
        <v>102.86699999999999</v>
      </c>
      <c r="Y202" s="59">
        <f t="shared" si="76"/>
        <v>104.08200000000006</v>
      </c>
      <c r="Z202" s="59">
        <f t="shared" si="76"/>
        <v>102.52800000000008</v>
      </c>
      <c r="AA202" s="59">
        <f t="shared" si="76"/>
        <v>89.15699999999994</v>
      </c>
      <c r="AB202" s="59">
        <f t="shared" si="76"/>
        <v>75.04599999999995</v>
      </c>
      <c r="AC202" s="59">
        <f t="shared" si="76"/>
        <v>75.716000000000108</v>
      </c>
      <c r="AD202" s="59">
        <f t="shared" si="76"/>
        <v>75.248999999999981</v>
      </c>
      <c r="AE202" s="60">
        <f t="shared" si="72"/>
        <v>72.675438800000009</v>
      </c>
      <c r="AF202" s="60">
        <f t="shared" si="72"/>
        <v>78.096359699999994</v>
      </c>
      <c r="AG202" s="60">
        <f t="shared" si="72"/>
        <v>72.844247899999999</v>
      </c>
      <c r="AH202" s="60">
        <f t="shared" si="72"/>
        <v>72.277168799999998</v>
      </c>
      <c r="AI202" s="60">
        <f t="shared" si="72"/>
        <v>68.734581600000013</v>
      </c>
      <c r="AJ202" s="60">
        <f t="shared" si="72"/>
        <v>77.012437599999998</v>
      </c>
      <c r="AK202" s="60">
        <f t="shared" si="72"/>
        <v>78.075475600000004</v>
      </c>
      <c r="AL202" s="60">
        <f t="shared" si="72"/>
        <v>78.33429000000001</v>
      </c>
      <c r="AM202" s="60">
        <f t="shared" si="72"/>
        <v>75.152831599999999</v>
      </c>
      <c r="AN202" s="60">
        <f t="shared" si="72"/>
        <v>0</v>
      </c>
      <c r="AO202" s="60">
        <f t="shared" si="72"/>
        <v>0</v>
      </c>
    </row>
    <row r="203" spans="22:41" x14ac:dyDescent="0.2">
      <c r="V203">
        <v>335</v>
      </c>
      <c r="W203">
        <v>15</v>
      </c>
      <c r="X203" s="59">
        <f t="shared" si="76"/>
        <v>118.35999999999999</v>
      </c>
      <c r="Y203" s="59">
        <f t="shared" si="76"/>
        <v>117.55700000000009</v>
      </c>
      <c r="Z203" s="59">
        <f t="shared" si="76"/>
        <v>123.4700000000001</v>
      </c>
      <c r="AA203" s="59">
        <f t="shared" si="76"/>
        <v>120.8509999999999</v>
      </c>
      <c r="AB203" s="59">
        <f t="shared" si="76"/>
        <v>107.24499999999993</v>
      </c>
      <c r="AC203" s="59">
        <f t="shared" si="76"/>
        <v>92.859000000000137</v>
      </c>
      <c r="AD203" s="59">
        <f t="shared" si="76"/>
        <v>98.212999999999965</v>
      </c>
      <c r="AE203" s="60">
        <f t="shared" si="72"/>
        <v>94.895876000000001</v>
      </c>
      <c r="AF203" s="60">
        <f t="shared" si="72"/>
        <v>96.949511008000002</v>
      </c>
      <c r="AG203" s="60">
        <f t="shared" si="72"/>
        <v>97.641498591999991</v>
      </c>
      <c r="AH203" s="60">
        <f t="shared" si="72"/>
        <v>88.607133600000012</v>
      </c>
      <c r="AI203" s="60">
        <f t="shared" si="72"/>
        <v>84.092159199999998</v>
      </c>
      <c r="AJ203" s="60">
        <f t="shared" si="72"/>
        <v>80.024508800000007</v>
      </c>
      <c r="AK203" s="60">
        <f t="shared" si="72"/>
        <v>83.614738400000007</v>
      </c>
      <c r="AL203" s="60">
        <f t="shared" si="72"/>
        <v>80.710363199999989</v>
      </c>
      <c r="AM203" s="60">
        <f t="shared" si="72"/>
        <v>70.481624800000006</v>
      </c>
      <c r="AN203" s="60">
        <f t="shared" si="72"/>
        <v>0</v>
      </c>
      <c r="AO203" s="60">
        <f t="shared" si="72"/>
        <v>0</v>
      </c>
    </row>
    <row r="204" spans="22:41" x14ac:dyDescent="0.2">
      <c r="V204">
        <v>336</v>
      </c>
      <c r="W204">
        <v>16</v>
      </c>
      <c r="X204" s="59">
        <f t="shared" si="76"/>
        <v>266.45599999999996</v>
      </c>
      <c r="Y204" s="59">
        <f t="shared" si="76"/>
        <v>279.03300000000019</v>
      </c>
      <c r="Z204" s="59">
        <f t="shared" si="76"/>
        <v>285.73000000000025</v>
      </c>
      <c r="AA204" s="59">
        <f t="shared" si="76"/>
        <v>267.85899999999981</v>
      </c>
      <c r="AB204" s="59">
        <f t="shared" si="76"/>
        <v>254.50399999999988</v>
      </c>
      <c r="AC204" s="59">
        <f t="shared" si="76"/>
        <v>239.07300000000032</v>
      </c>
      <c r="AD204" s="59">
        <f t="shared" si="76"/>
        <v>262.28499999999991</v>
      </c>
      <c r="AE204" s="60">
        <f t="shared" si="72"/>
        <v>278.15656079999997</v>
      </c>
      <c r="AF204" s="60">
        <f t="shared" si="72"/>
        <v>285.75514625200003</v>
      </c>
      <c r="AG204" s="60">
        <f t="shared" si="72"/>
        <v>269.87077974800002</v>
      </c>
      <c r="AH204" s="60">
        <f t="shared" si="72"/>
        <v>236.73036520000002</v>
      </c>
      <c r="AI204" s="60">
        <f t="shared" si="72"/>
        <v>224.43536800000001</v>
      </c>
      <c r="AJ204" s="60">
        <f t="shared" si="72"/>
        <v>207.48447039999999</v>
      </c>
      <c r="AK204" s="60">
        <f t="shared" si="72"/>
        <v>232.71165439999999</v>
      </c>
      <c r="AL204" s="60">
        <f t="shared" si="72"/>
        <v>241.38694399999997</v>
      </c>
      <c r="AM204" s="60">
        <f t="shared" si="72"/>
        <v>214.73696159999997</v>
      </c>
      <c r="AN204" s="60">
        <f t="shared" si="72"/>
        <v>0</v>
      </c>
      <c r="AO204" s="60">
        <f t="shared" si="72"/>
        <v>0</v>
      </c>
    </row>
    <row r="205" spans="22:41" x14ac:dyDescent="0.2">
      <c r="V205">
        <v>337</v>
      </c>
      <c r="W205">
        <v>17</v>
      </c>
      <c r="X205" s="59">
        <f t="shared" si="76"/>
        <v>45.286679999999997</v>
      </c>
      <c r="Y205" s="59">
        <f t="shared" si="76"/>
        <v>49.092040000000033</v>
      </c>
      <c r="Z205" s="59">
        <f t="shared" si="76"/>
        <v>54.895080000000043</v>
      </c>
      <c r="AA205" s="59">
        <f t="shared" si="76"/>
        <v>48.100439999999963</v>
      </c>
      <c r="AB205" s="59">
        <f t="shared" si="76"/>
        <v>48.96211999999997</v>
      </c>
      <c r="AC205" s="59">
        <f t="shared" si="76"/>
        <v>41.464000000000055</v>
      </c>
      <c r="AD205" s="59">
        <f t="shared" si="76"/>
        <v>41.234419999999979</v>
      </c>
      <c r="AE205" s="60">
        <f t="shared" ref="AE205:AO206" si="77">AE175</f>
        <v>44.875160000000001</v>
      </c>
      <c r="AF205" s="60">
        <f t="shared" si="77"/>
        <v>47.448480000000004</v>
      </c>
      <c r="AG205" s="60">
        <f t="shared" si="77"/>
        <v>45.180019999999999</v>
      </c>
      <c r="AH205" s="60">
        <f t="shared" si="77"/>
        <v>41.163460000000001</v>
      </c>
      <c r="AI205" s="60">
        <f t="shared" si="77"/>
        <v>38.447760000000002</v>
      </c>
      <c r="AJ205" s="60">
        <f t="shared" si="77"/>
        <v>35.440660000000001</v>
      </c>
      <c r="AK205" s="60">
        <f t="shared" si="77"/>
        <v>37.555218245039889</v>
      </c>
      <c r="AL205" s="60">
        <f t="shared" si="77"/>
        <v>41.643002376237618</v>
      </c>
      <c r="AM205" s="60">
        <f t="shared" si="77"/>
        <v>40.660283116883122</v>
      </c>
      <c r="AN205" s="60">
        <f t="shared" si="77"/>
        <v>0</v>
      </c>
      <c r="AO205" s="60">
        <f t="shared" si="77"/>
        <v>0</v>
      </c>
    </row>
    <row r="206" spans="22:41" x14ac:dyDescent="0.2">
      <c r="V206">
        <v>339</v>
      </c>
      <c r="W206">
        <v>18</v>
      </c>
      <c r="X206" s="59">
        <f t="shared" si="76"/>
        <v>39.081999999999994</v>
      </c>
      <c r="Y206" s="59">
        <f t="shared" si="76"/>
        <v>41.153000000000027</v>
      </c>
      <c r="Z206" s="59">
        <f t="shared" si="76"/>
        <v>46.900000000000041</v>
      </c>
      <c r="AA206" s="59">
        <f t="shared" si="76"/>
        <v>40.065999999999974</v>
      </c>
      <c r="AB206" s="59">
        <f t="shared" si="76"/>
        <v>35.384999999999977</v>
      </c>
      <c r="AC206" s="59">
        <f t="shared" si="76"/>
        <v>32.040000000000042</v>
      </c>
      <c r="AD206" s="59">
        <f t="shared" si="76"/>
        <v>31.736999999999984</v>
      </c>
      <c r="AE206" s="60">
        <f t="shared" si="77"/>
        <v>35.608561199999997</v>
      </c>
      <c r="AF206" s="60">
        <f t="shared" si="77"/>
        <v>37.2356403</v>
      </c>
      <c r="AG206" s="60">
        <f t="shared" si="77"/>
        <v>36.170752100000001</v>
      </c>
      <c r="AH206" s="60">
        <f t="shared" si="77"/>
        <v>34.477831199999997</v>
      </c>
      <c r="AI206" s="60">
        <f t="shared" si="77"/>
        <v>32.277418400000002</v>
      </c>
      <c r="AJ206" s="60">
        <f t="shared" si="77"/>
        <v>28.9135624</v>
      </c>
      <c r="AK206" s="60">
        <f t="shared" si="77"/>
        <v>31.048524400000002</v>
      </c>
      <c r="AL206" s="60">
        <f t="shared" si="77"/>
        <v>31.26371</v>
      </c>
      <c r="AM206" s="60">
        <f t="shared" si="77"/>
        <v>27.728168400000001</v>
      </c>
      <c r="AN206" s="60">
        <f t="shared" si="77"/>
        <v>0</v>
      </c>
      <c r="AO206" s="60">
        <f t="shared" si="77"/>
        <v>0</v>
      </c>
    </row>
    <row r="208" spans="22:41" x14ac:dyDescent="0.2">
      <c r="X208" s="57">
        <f>SUM(X189:X206)-X194</f>
        <v>14209.029</v>
      </c>
      <c r="Y208" s="57">
        <f t="shared" ref="Y208:AD208" si="78">SUM(Y189:Y206)-Y194</f>
        <v>14246.359999999999</v>
      </c>
      <c r="Z208" s="57">
        <f t="shared" si="78"/>
        <v>14781.722999999996</v>
      </c>
      <c r="AA208" s="57">
        <f t="shared" si="78"/>
        <v>15049.816000000003</v>
      </c>
      <c r="AB208" s="57">
        <f t="shared" si="78"/>
        <v>14966.806</v>
      </c>
      <c r="AC208" s="57">
        <f t="shared" si="78"/>
        <v>13543.631000000001</v>
      </c>
      <c r="AD208" s="57">
        <f t="shared" si="78"/>
        <v>14143.227999999997</v>
      </c>
    </row>
    <row r="209" spans="20:30" x14ac:dyDescent="0.2">
      <c r="T209" s="52" t="s">
        <v>247</v>
      </c>
      <c r="X209" s="57">
        <f>X47</f>
        <v>14209.029000000002</v>
      </c>
      <c r="Y209" s="57">
        <f t="shared" ref="Y209:AD209" si="79">Y47</f>
        <v>14246.359999999999</v>
      </c>
      <c r="Z209" s="57">
        <f t="shared" si="79"/>
        <v>14781.722999999998</v>
      </c>
      <c r="AA209" s="57">
        <f t="shared" si="79"/>
        <v>15049.816000000001</v>
      </c>
      <c r="AB209" s="57">
        <f t="shared" si="79"/>
        <v>14966.806</v>
      </c>
      <c r="AC209" s="57">
        <f t="shared" si="79"/>
        <v>13543.631000000001</v>
      </c>
      <c r="AD209" s="57">
        <f t="shared" si="79"/>
        <v>14143.227999999999</v>
      </c>
    </row>
  </sheetData>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6:BF344"/>
  <sheetViews>
    <sheetView tabSelected="1" topLeftCell="A213" workbookViewId="0">
      <selection activeCell="A245" sqref="A245"/>
    </sheetView>
  </sheetViews>
  <sheetFormatPr defaultRowHeight="12.75" x14ac:dyDescent="0.2"/>
  <cols>
    <col min="15" max="16" width="10.5703125" bestFit="1" customWidth="1"/>
  </cols>
  <sheetData>
    <row r="6" spans="4:18" x14ac:dyDescent="0.2">
      <c r="D6">
        <v>1985</v>
      </c>
      <c r="E6" t="s">
        <v>38</v>
      </c>
      <c r="F6" t="s">
        <v>92</v>
      </c>
      <c r="G6" t="s">
        <v>93</v>
      </c>
      <c r="N6" t="s">
        <v>39</v>
      </c>
      <c r="P6" t="s">
        <v>91</v>
      </c>
    </row>
    <row r="7" spans="4:18" ht="45.75" thickBot="1" x14ac:dyDescent="0.25">
      <c r="E7" s="1"/>
      <c r="F7" s="16" t="s">
        <v>33</v>
      </c>
      <c r="G7" s="17" t="s">
        <v>34</v>
      </c>
      <c r="H7" s="17" t="s">
        <v>35</v>
      </c>
      <c r="I7" s="17" t="s">
        <v>36</v>
      </c>
      <c r="J7" s="17" t="s">
        <v>37</v>
      </c>
      <c r="K7" s="76"/>
      <c r="L7" s="76"/>
      <c r="O7" s="17" t="s">
        <v>35</v>
      </c>
      <c r="P7" s="24" t="s">
        <v>90</v>
      </c>
      <c r="Q7" s="25" t="s">
        <v>63</v>
      </c>
      <c r="R7" s="25" t="s">
        <v>62</v>
      </c>
    </row>
    <row r="8" spans="4:18" x14ac:dyDescent="0.2">
      <c r="D8" s="2">
        <v>311</v>
      </c>
      <c r="E8">
        <v>20</v>
      </c>
      <c r="F8">
        <v>946</v>
      </c>
      <c r="G8">
        <v>44417</v>
      </c>
      <c r="H8" s="12">
        <f>G8*3.412*0.001</f>
        <v>151.550804</v>
      </c>
      <c r="I8" s="12">
        <f>F8-H8</f>
        <v>794.44919600000003</v>
      </c>
      <c r="N8" t="s">
        <v>12</v>
      </c>
      <c r="O8" s="15">
        <f>H8+H9</f>
        <v>155.730504</v>
      </c>
      <c r="P8" s="15">
        <f>I8+I9</f>
        <v>809.269496</v>
      </c>
      <c r="Q8" s="4">
        <f>$AF$114</f>
        <v>1.0063510216507281</v>
      </c>
      <c r="R8" s="7">
        <f>Q8*P8</f>
        <v>814.40918409036976</v>
      </c>
    </row>
    <row r="9" spans="4:18" x14ac:dyDescent="0.2">
      <c r="D9" s="2">
        <v>312</v>
      </c>
      <c r="E9">
        <v>21</v>
      </c>
      <c r="F9">
        <v>19</v>
      </c>
      <c r="G9">
        <v>1225</v>
      </c>
      <c r="H9" s="12">
        <f>G9*3.412*0.001</f>
        <v>4.1796999999999995</v>
      </c>
      <c r="I9" s="12">
        <f>F9-H9</f>
        <v>14.8203</v>
      </c>
      <c r="N9" t="s">
        <v>13</v>
      </c>
      <c r="O9" s="15">
        <f>H10</f>
        <v>87.183424000000002</v>
      </c>
      <c r="P9" s="15">
        <f>I10+I11</f>
        <v>160.816576</v>
      </c>
      <c r="Q9" s="4">
        <f>$AF$115</f>
        <v>0.97092854611113166</v>
      </c>
      <c r="R9" s="7">
        <f t="shared" ref="R9:R25" si="0">Q9*P9</f>
        <v>156.1414043262503</v>
      </c>
    </row>
    <row r="10" spans="4:18" x14ac:dyDescent="0.2">
      <c r="D10" s="2">
        <v>313</v>
      </c>
      <c r="E10">
        <v>22</v>
      </c>
      <c r="F10">
        <v>248</v>
      </c>
      <c r="G10">
        <v>25552</v>
      </c>
      <c r="H10" s="12">
        <f>G10*3.412*0.001</f>
        <v>87.183424000000002</v>
      </c>
      <c r="I10" s="12">
        <f>F10-H10</f>
        <v>160.816576</v>
      </c>
      <c r="N10" t="s">
        <v>14</v>
      </c>
      <c r="O10" s="15">
        <f>H12+H13</f>
        <v>17.343195999999999</v>
      </c>
      <c r="P10" s="15">
        <f>I12+I13</f>
        <v>25.656804000000001</v>
      </c>
      <c r="Q10" s="4">
        <f>$AF$116</f>
        <v>1.0862977017311064</v>
      </c>
      <c r="R10" s="7">
        <f t="shared" si="0"/>
        <v>27.870927218965459</v>
      </c>
    </row>
    <row r="11" spans="4:18" x14ac:dyDescent="0.2">
      <c r="D11">
        <v>314</v>
      </c>
      <c r="N11">
        <v>321</v>
      </c>
      <c r="O11" s="15">
        <f>H14</f>
        <v>46.925235999999998</v>
      </c>
      <c r="P11" s="15">
        <f>I14</f>
        <v>286.07476400000002</v>
      </c>
      <c r="Q11" s="4">
        <f>$AF$117</f>
        <v>0.86970227612053164</v>
      </c>
      <c r="R11" s="7">
        <f t="shared" si="0"/>
        <v>248.79987339144392</v>
      </c>
    </row>
    <row r="12" spans="4:18" x14ac:dyDescent="0.2">
      <c r="D12">
        <v>315</v>
      </c>
      <c r="E12">
        <v>23</v>
      </c>
      <c r="F12">
        <v>30</v>
      </c>
      <c r="G12">
        <v>4030</v>
      </c>
      <c r="H12" s="12">
        <f>G12*3.412*0.001</f>
        <v>13.750360000000001</v>
      </c>
      <c r="I12" s="12">
        <f>F12-H12</f>
        <v>16.249639999999999</v>
      </c>
      <c r="N12">
        <f>D15</f>
        <v>322</v>
      </c>
      <c r="O12" s="15">
        <f t="shared" ref="O12:O18" si="1">H15</f>
        <v>177.246576</v>
      </c>
      <c r="P12" s="15">
        <f t="shared" ref="P12:P18" si="2">I15</f>
        <v>2020.753424</v>
      </c>
      <c r="Q12" s="4">
        <f>$AF$118</f>
        <v>0.99832231546260719</v>
      </c>
      <c r="R12" s="7">
        <f t="shared" si="0"/>
        <v>2017.3632372266716</v>
      </c>
    </row>
    <row r="13" spans="4:18" x14ac:dyDescent="0.2">
      <c r="D13">
        <v>316</v>
      </c>
      <c r="E13">
        <v>31</v>
      </c>
      <c r="F13">
        <v>13</v>
      </c>
      <c r="G13">
        <v>1053</v>
      </c>
      <c r="H13" s="12">
        <f t="shared" ref="H13:H28" si="3">G13*3.412*0.001</f>
        <v>3.5928359999999997</v>
      </c>
      <c r="I13" s="12">
        <f t="shared" ref="I13:I28" si="4">F13-H13</f>
        <v>9.4071639999999999</v>
      </c>
      <c r="N13">
        <f t="shared" ref="N13:N25" si="5">D16</f>
        <v>323</v>
      </c>
      <c r="O13" s="15">
        <f t="shared" si="1"/>
        <v>38.159807999999998</v>
      </c>
      <c r="P13" s="15">
        <f t="shared" si="2"/>
        <v>37.840192000000002</v>
      </c>
      <c r="Q13" s="4">
        <f>$AF$119</f>
        <v>0.70557464070883003</v>
      </c>
      <c r="R13" s="7">
        <f t="shared" si="0"/>
        <v>26.699079874753146</v>
      </c>
    </row>
    <row r="14" spans="4:18" x14ac:dyDescent="0.2">
      <c r="D14">
        <v>321</v>
      </c>
      <c r="E14">
        <v>24</v>
      </c>
      <c r="F14">
        <v>333</v>
      </c>
      <c r="G14">
        <v>13753</v>
      </c>
      <c r="H14" s="12">
        <f t="shared" si="3"/>
        <v>46.925235999999998</v>
      </c>
      <c r="I14" s="12">
        <f t="shared" si="4"/>
        <v>286.07476400000002</v>
      </c>
      <c r="N14">
        <f t="shared" si="5"/>
        <v>324</v>
      </c>
      <c r="O14" s="15">
        <f t="shared" si="1"/>
        <v>113.462648</v>
      </c>
      <c r="P14" s="15">
        <f t="shared" si="2"/>
        <v>2517.5373519999998</v>
      </c>
      <c r="Q14" s="4">
        <f>$AF$120</f>
        <v>1.0008325708705155</v>
      </c>
      <c r="R14" s="7">
        <f t="shared" si="0"/>
        <v>2519.6333802647096</v>
      </c>
    </row>
    <row r="15" spans="4:18" x14ac:dyDescent="0.2">
      <c r="D15">
        <v>322</v>
      </c>
      <c r="E15">
        <v>26</v>
      </c>
      <c r="F15">
        <v>2198</v>
      </c>
      <c r="G15">
        <v>51948</v>
      </c>
      <c r="H15" s="12">
        <f t="shared" si="3"/>
        <v>177.246576</v>
      </c>
      <c r="I15" s="12">
        <f t="shared" si="4"/>
        <v>2020.753424</v>
      </c>
      <c r="N15">
        <f t="shared" si="5"/>
        <v>325</v>
      </c>
      <c r="O15" s="15">
        <f t="shared" si="1"/>
        <v>407.55657600000001</v>
      </c>
      <c r="P15" s="15">
        <f t="shared" si="2"/>
        <v>1999.4434240000001</v>
      </c>
      <c r="Q15" s="4">
        <f>$AF$121</f>
        <v>0.99144124267556832</v>
      </c>
      <c r="R15" s="7">
        <f t="shared" si="0"/>
        <v>1982.3306729500532</v>
      </c>
    </row>
    <row r="16" spans="4:18" x14ac:dyDescent="0.2">
      <c r="D16">
        <v>323</v>
      </c>
      <c r="E16">
        <v>27</v>
      </c>
      <c r="F16">
        <v>76</v>
      </c>
      <c r="G16">
        <v>11184</v>
      </c>
      <c r="H16" s="12">
        <f t="shared" si="3"/>
        <v>38.159807999999998</v>
      </c>
      <c r="I16" s="12">
        <f t="shared" si="4"/>
        <v>37.840192000000002</v>
      </c>
      <c r="N16">
        <f t="shared" si="5"/>
        <v>326</v>
      </c>
      <c r="O16" s="15">
        <f t="shared" si="1"/>
        <v>87.975008000000003</v>
      </c>
      <c r="P16" s="15">
        <f t="shared" si="2"/>
        <v>124.024992</v>
      </c>
      <c r="Q16" s="4">
        <f>$AF$122</f>
        <v>1.0355216047246407</v>
      </c>
      <c r="R16" s="7">
        <f t="shared" si="0"/>
        <v>128.43055874180072</v>
      </c>
    </row>
    <row r="17" spans="4:18" x14ac:dyDescent="0.2">
      <c r="D17">
        <v>324</v>
      </c>
      <c r="F17">
        <v>2631</v>
      </c>
      <c r="G17">
        <v>33254</v>
      </c>
      <c r="H17" s="12">
        <f t="shared" si="3"/>
        <v>113.462648</v>
      </c>
      <c r="I17" s="12">
        <f t="shared" si="4"/>
        <v>2517.5373519999998</v>
      </c>
      <c r="N17">
        <f t="shared" si="5"/>
        <v>327</v>
      </c>
      <c r="O17" s="15">
        <f t="shared" si="1"/>
        <v>104.93606</v>
      </c>
      <c r="P17" s="15">
        <f t="shared" si="2"/>
        <v>791.06394</v>
      </c>
      <c r="Q17" s="4">
        <f>$AF$123</f>
        <v>0.99993870938021057</v>
      </c>
      <c r="R17" s="7">
        <f t="shared" si="0"/>
        <v>791.01545520082436</v>
      </c>
    </row>
    <row r="18" spans="4:18" x14ac:dyDescent="0.2">
      <c r="D18">
        <v>325</v>
      </c>
      <c r="F18">
        <v>2407</v>
      </c>
      <c r="G18">
        <v>119448</v>
      </c>
      <c r="H18" s="12">
        <f t="shared" si="3"/>
        <v>407.55657600000001</v>
      </c>
      <c r="I18" s="12">
        <f t="shared" si="4"/>
        <v>1999.4434240000001</v>
      </c>
      <c r="N18">
        <f t="shared" si="5"/>
        <v>331</v>
      </c>
      <c r="O18" s="15">
        <f t="shared" si="1"/>
        <v>479.30411199999998</v>
      </c>
      <c r="P18" s="15">
        <f t="shared" si="2"/>
        <v>1911.695888</v>
      </c>
      <c r="Q18" s="4">
        <f>$AF$124</f>
        <v>1.010397468376462</v>
      </c>
      <c r="R18" s="7">
        <f t="shared" si="0"/>
        <v>1931.5726855408925</v>
      </c>
    </row>
    <row r="19" spans="4:18" x14ac:dyDescent="0.2">
      <c r="D19">
        <v>326</v>
      </c>
      <c r="F19">
        <v>212</v>
      </c>
      <c r="G19">
        <v>25784</v>
      </c>
      <c r="H19" s="12">
        <f t="shared" si="3"/>
        <v>87.975008000000003</v>
      </c>
      <c r="I19" s="12">
        <f t="shared" si="4"/>
        <v>124.024992</v>
      </c>
      <c r="N19">
        <f t="shared" si="5"/>
        <v>332</v>
      </c>
      <c r="O19" s="15">
        <f>H22</f>
        <v>91.455247999999997</v>
      </c>
      <c r="P19" s="15">
        <f>I22+$AL$142*I23-$AL$149*I22</f>
        <v>217.52751768000002</v>
      </c>
      <c r="Q19" s="4">
        <f>$AF$125</f>
        <v>1.0050318572657224</v>
      </c>
      <c r="R19" s="7">
        <f t="shared" si="0"/>
        <v>218.6220851003327</v>
      </c>
    </row>
    <row r="20" spans="4:18" x14ac:dyDescent="0.2">
      <c r="D20">
        <v>327</v>
      </c>
      <c r="F20">
        <v>896</v>
      </c>
      <c r="G20">
        <v>30755</v>
      </c>
      <c r="H20" s="12">
        <f t="shared" si="3"/>
        <v>104.93606</v>
      </c>
      <c r="I20" s="12">
        <f t="shared" si="4"/>
        <v>791.06394</v>
      </c>
      <c r="N20">
        <f t="shared" si="5"/>
        <v>333</v>
      </c>
      <c r="O20" s="15">
        <f>0.9*H23</f>
        <v>87.895508399999997</v>
      </c>
      <c r="P20" s="15">
        <f>I23-$AL$142*I23-$AL$140*I23-$AL$141*I23+$AL$146*I24</f>
        <v>119.68513096</v>
      </c>
      <c r="Q20" s="4">
        <f>$AF$126</f>
        <v>0.99057294439314503</v>
      </c>
      <c r="R20" s="7">
        <f t="shared" si="0"/>
        <v>118.55685257512636</v>
      </c>
    </row>
    <row r="21" spans="4:18" x14ac:dyDescent="0.2">
      <c r="D21">
        <v>331</v>
      </c>
      <c r="F21">
        <v>2391</v>
      </c>
      <c r="G21">
        <v>140476</v>
      </c>
      <c r="H21" s="12">
        <f t="shared" si="3"/>
        <v>479.30411199999998</v>
      </c>
      <c r="I21" s="12">
        <f t="shared" si="4"/>
        <v>1911.695888</v>
      </c>
      <c r="N21">
        <f t="shared" si="5"/>
        <v>334</v>
      </c>
      <c r="O21">
        <f>0.1*H23+0.35*H25+0.5*H24</f>
        <v>59.5622604</v>
      </c>
      <c r="P21">
        <f>$AL$140*I23+$AL$153*I24+$AL$151*I25</f>
        <v>53.533155600000001</v>
      </c>
      <c r="Q21" s="4">
        <f>$AF$127</f>
        <v>1.0234677016554385</v>
      </c>
      <c r="R21" s="7">
        <f t="shared" si="0"/>
        <v>54.789455724294967</v>
      </c>
    </row>
    <row r="22" spans="4:18" x14ac:dyDescent="0.2">
      <c r="D22">
        <v>332</v>
      </c>
      <c r="F22">
        <v>298</v>
      </c>
      <c r="G22">
        <v>26804</v>
      </c>
      <c r="H22" s="12">
        <f t="shared" si="3"/>
        <v>91.455247999999997</v>
      </c>
      <c r="I22" s="12">
        <f t="shared" si="4"/>
        <v>206.54475200000002</v>
      </c>
      <c r="N22">
        <f t="shared" si="5"/>
        <v>335</v>
      </c>
      <c r="O22">
        <f>0.65*H25</f>
        <v>68.494535200000001</v>
      </c>
      <c r="P22">
        <f>(1-$AL$150-$AL$151)*I25</f>
        <v>70.464178559999993</v>
      </c>
      <c r="Q22" s="4">
        <f>$AF$128</f>
        <v>0.8929284199379155</v>
      </c>
      <c r="R22" s="7">
        <f t="shared" si="0"/>
        <v>62.919467623803939</v>
      </c>
    </row>
    <row r="23" spans="4:18" x14ac:dyDescent="0.2">
      <c r="D23">
        <v>333</v>
      </c>
      <c r="F23">
        <v>239</v>
      </c>
      <c r="G23">
        <v>28623</v>
      </c>
      <c r="H23" s="12">
        <f t="shared" si="3"/>
        <v>97.661676</v>
      </c>
      <c r="I23" s="12">
        <f t="shared" si="4"/>
        <v>141.338324</v>
      </c>
      <c r="N23">
        <f t="shared" si="5"/>
        <v>336</v>
      </c>
      <c r="O23" s="15">
        <f>H26</f>
        <v>111.80100400000001</v>
      </c>
      <c r="P23" s="15">
        <f>I26+$AL$149*I22+R$141*I23+$AL$150*I25</f>
        <v>223.80208031999999</v>
      </c>
      <c r="Q23" s="4">
        <f>$AF$129</f>
        <v>1.0499456144576871</v>
      </c>
      <c r="R23" s="7">
        <f t="shared" si="0"/>
        <v>234.98001273849101</v>
      </c>
    </row>
    <row r="24" spans="4:18" x14ac:dyDescent="0.2">
      <c r="D24">
        <v>334</v>
      </c>
      <c r="E24">
        <v>38</v>
      </c>
      <c r="F24">
        <v>73</v>
      </c>
      <c r="G24">
        <v>7570</v>
      </c>
      <c r="H24" s="12">
        <f t="shared" si="3"/>
        <v>25.82884</v>
      </c>
      <c r="I24" s="12">
        <f t="shared" si="4"/>
        <v>47.17116</v>
      </c>
      <c r="N24">
        <f t="shared" si="5"/>
        <v>337</v>
      </c>
      <c r="O24" s="15">
        <f>H27</f>
        <v>14.39864</v>
      </c>
      <c r="P24" s="15">
        <f>I27</f>
        <v>33.60136</v>
      </c>
      <c r="Q24" s="4">
        <f>$AF$130</f>
        <v>1.1125687426632083</v>
      </c>
      <c r="R24" s="7">
        <f t="shared" si="0"/>
        <v>37.383822846973821</v>
      </c>
    </row>
    <row r="25" spans="4:18" ht="13.5" thickBot="1" x14ac:dyDescent="0.25">
      <c r="D25">
        <v>335</v>
      </c>
      <c r="E25">
        <v>36</v>
      </c>
      <c r="F25">
        <v>209</v>
      </c>
      <c r="G25">
        <v>30884</v>
      </c>
      <c r="H25" s="12">
        <f t="shared" si="3"/>
        <v>105.37620800000001</v>
      </c>
      <c r="I25" s="12">
        <f t="shared" si="4"/>
        <v>103.62379199999999</v>
      </c>
      <c r="N25">
        <f t="shared" si="5"/>
        <v>339</v>
      </c>
      <c r="O25">
        <f>H28+0.5*H24</f>
        <v>23.7987</v>
      </c>
      <c r="P25" s="1">
        <f>I28+$AL$147*I24</f>
        <v>36.153914400000005</v>
      </c>
      <c r="Q25" s="26">
        <f>$AF$131</f>
        <v>0.93664838905802084</v>
      </c>
      <c r="R25" s="27">
        <f t="shared" si="0"/>
        <v>33.863505680901589</v>
      </c>
    </row>
    <row r="26" spans="4:18" x14ac:dyDescent="0.2">
      <c r="D26">
        <v>336</v>
      </c>
      <c r="E26">
        <v>37</v>
      </c>
      <c r="F26">
        <v>317</v>
      </c>
      <c r="G26">
        <v>32767</v>
      </c>
      <c r="H26" s="12">
        <f t="shared" si="3"/>
        <v>111.80100400000001</v>
      </c>
      <c r="I26" s="12">
        <f t="shared" si="4"/>
        <v>205.19899599999999</v>
      </c>
      <c r="O26" s="15">
        <f>SUM(O8:O25)</f>
        <v>2173.2290439999992</v>
      </c>
      <c r="P26" s="15">
        <f>SUM(P8:P25)</f>
        <v>11438.94418952</v>
      </c>
      <c r="Q26" s="15"/>
      <c r="R26" s="15">
        <f>SUM(R8:R25)</f>
        <v>11405.381661116657</v>
      </c>
    </row>
    <row r="27" spans="4:18" x14ac:dyDescent="0.2">
      <c r="D27">
        <v>337</v>
      </c>
      <c r="F27">
        <v>48</v>
      </c>
      <c r="G27">
        <v>4220</v>
      </c>
      <c r="H27" s="12">
        <f t="shared" si="3"/>
        <v>14.39864</v>
      </c>
      <c r="I27" s="12">
        <f t="shared" si="4"/>
        <v>33.60136</v>
      </c>
    </row>
    <row r="28" spans="4:18" x14ac:dyDescent="0.2">
      <c r="D28">
        <v>339</v>
      </c>
      <c r="F28">
        <v>31</v>
      </c>
      <c r="G28">
        <v>3190</v>
      </c>
      <c r="H28" s="12">
        <f t="shared" si="3"/>
        <v>10.88428</v>
      </c>
      <c r="I28" s="12">
        <f t="shared" si="4"/>
        <v>20.11572</v>
      </c>
    </row>
    <row r="29" spans="4:18" x14ac:dyDescent="0.2">
      <c r="F29" s="15">
        <f>SUM(F8:F28)</f>
        <v>13615</v>
      </c>
      <c r="G29" s="15">
        <f>SUM(G8:G28)</f>
        <v>636937</v>
      </c>
      <c r="H29" s="15">
        <f>SUM(H8:H28)</f>
        <v>2173.2290439999997</v>
      </c>
      <c r="I29" s="15">
        <f>SUM(I8:I28)</f>
        <v>11441.770955999998</v>
      </c>
    </row>
    <row r="32" spans="4:18" x14ac:dyDescent="0.2">
      <c r="D32">
        <v>1988</v>
      </c>
      <c r="E32" t="s">
        <v>38</v>
      </c>
      <c r="K32" s="31"/>
      <c r="L32" s="31"/>
      <c r="N32" t="s">
        <v>39</v>
      </c>
    </row>
    <row r="33" spans="4:18" ht="45.75" thickBot="1" x14ac:dyDescent="0.25">
      <c r="F33" s="10" t="s">
        <v>33</v>
      </c>
      <c r="G33" s="11" t="s">
        <v>34</v>
      </c>
      <c r="H33" s="11" t="s">
        <v>35</v>
      </c>
      <c r="I33" s="11" t="s">
        <v>36</v>
      </c>
      <c r="J33" s="13" t="s">
        <v>37</v>
      </c>
      <c r="K33" s="32"/>
      <c r="L33" s="32"/>
      <c r="O33" s="17" t="s">
        <v>35</v>
      </c>
      <c r="P33" s="24" t="s">
        <v>90</v>
      </c>
      <c r="Q33" s="25" t="s">
        <v>63</v>
      </c>
      <c r="R33" s="25" t="s">
        <v>62</v>
      </c>
    </row>
    <row r="34" spans="4:18" x14ac:dyDescent="0.2">
      <c r="D34" s="2">
        <v>311</v>
      </c>
      <c r="E34">
        <v>20</v>
      </c>
      <c r="F34" s="12">
        <v>996</v>
      </c>
      <c r="G34" s="12">
        <v>50206</v>
      </c>
      <c r="H34" s="12">
        <f>G34*3.412*0.001</f>
        <v>171.30287200000001</v>
      </c>
      <c r="I34" s="12">
        <f>F34-H34</f>
        <v>824.69712800000002</v>
      </c>
      <c r="J34" s="14" t="e">
        <f>F34-G34-#REF!-#REF!-#REF!</f>
        <v>#REF!</v>
      </c>
      <c r="K34" s="19"/>
      <c r="L34" s="19"/>
      <c r="N34" t="s">
        <v>12</v>
      </c>
      <c r="O34" s="15">
        <f>H34+H35</f>
        <v>174.25084000000001</v>
      </c>
      <c r="P34" s="15">
        <f>I34+I35</f>
        <v>845.74916000000007</v>
      </c>
      <c r="Q34" s="4">
        <f>$AF$114</f>
        <v>1.0063510216507281</v>
      </c>
      <c r="R34" s="7">
        <f>Q34*P34</f>
        <v>851.12053122624513</v>
      </c>
    </row>
    <row r="35" spans="4:18" x14ac:dyDescent="0.2">
      <c r="D35" s="2">
        <v>312</v>
      </c>
      <c r="E35">
        <v>21</v>
      </c>
      <c r="F35" s="12">
        <v>24</v>
      </c>
      <c r="G35" s="12">
        <v>864</v>
      </c>
      <c r="H35" s="12">
        <f>G35*3.412*0.001</f>
        <v>2.9479679999999999</v>
      </c>
      <c r="I35" s="12">
        <f>F35-H35</f>
        <v>21.052032000000001</v>
      </c>
      <c r="J35" s="14" t="e">
        <f>F35-G35-#REF!-#REF!-#REF!</f>
        <v>#REF!</v>
      </c>
      <c r="K35" s="19"/>
      <c r="L35" s="19"/>
      <c r="N35" t="s">
        <v>13</v>
      </c>
      <c r="O35" s="15">
        <f>H36</f>
        <v>101.46605599999999</v>
      </c>
      <c r="P35" s="15">
        <f>I36+I37</f>
        <v>173.53394400000002</v>
      </c>
      <c r="Q35" s="4">
        <f>$AF$115</f>
        <v>0.97092854611113166</v>
      </c>
      <c r="R35" s="7">
        <f t="shared" ref="R35:R51" si="6">Q35*P35</f>
        <v>168.48905994885055</v>
      </c>
    </row>
    <row r="36" spans="4:18" x14ac:dyDescent="0.2">
      <c r="D36" s="2">
        <v>313</v>
      </c>
      <c r="E36">
        <v>22</v>
      </c>
      <c r="F36" s="12">
        <v>275</v>
      </c>
      <c r="G36" s="12">
        <f>29738</f>
        <v>29738</v>
      </c>
      <c r="H36" s="12">
        <f>G36*3.412*0.001</f>
        <v>101.46605599999999</v>
      </c>
      <c r="I36" s="12">
        <f>F36-H36</f>
        <v>173.53394400000002</v>
      </c>
      <c r="J36" s="14" t="e">
        <f>F36-H36-#REF!-#REF!-#REF!</f>
        <v>#REF!</v>
      </c>
      <c r="K36" s="19"/>
      <c r="L36" s="19"/>
      <c r="N36" t="s">
        <v>14</v>
      </c>
      <c r="O36" s="15">
        <f>H38+H39</f>
        <v>27.4666</v>
      </c>
      <c r="P36" s="15">
        <f>I38+I39</f>
        <v>42.5334</v>
      </c>
      <c r="Q36" s="4">
        <f>$AF$116</f>
        <v>1.0862977017311064</v>
      </c>
      <c r="R36" s="7">
        <f t="shared" si="6"/>
        <v>46.203934666809843</v>
      </c>
    </row>
    <row r="37" spans="4:18" x14ac:dyDescent="0.2">
      <c r="D37">
        <v>314</v>
      </c>
      <c r="J37" s="3"/>
      <c r="K37" s="31"/>
      <c r="L37" s="31"/>
      <c r="N37">
        <v>321</v>
      </c>
      <c r="O37" s="15">
        <f>H40</f>
        <v>56.062572000000003</v>
      </c>
      <c r="P37" s="15">
        <f>I40</f>
        <v>347.93742800000001</v>
      </c>
      <c r="Q37" s="4">
        <f>$AF$117</f>
        <v>0.86970227612053164</v>
      </c>
      <c r="R37" s="7">
        <f t="shared" si="6"/>
        <v>302.60197307912358</v>
      </c>
    </row>
    <row r="38" spans="4:18" x14ac:dyDescent="0.2">
      <c r="D38">
        <v>315</v>
      </c>
      <c r="E38">
        <v>23</v>
      </c>
      <c r="F38">
        <v>54</v>
      </c>
      <c r="G38">
        <v>6659</v>
      </c>
      <c r="H38" s="12">
        <f>G38*3.412*0.001</f>
        <v>22.720507999999999</v>
      </c>
      <c r="I38" s="12">
        <f>F38-H38</f>
        <v>31.279492000000001</v>
      </c>
      <c r="J38" s="14" t="e">
        <f>F38-H38-#REF!-#REF!-#REF!</f>
        <v>#REF!</v>
      </c>
      <c r="K38" s="19"/>
      <c r="L38" s="19"/>
      <c r="N38">
        <f t="shared" ref="N38:N51" si="7">D40</f>
        <v>321</v>
      </c>
      <c r="O38" s="15">
        <f t="shared" ref="O38:O44" si="8">H41</f>
        <v>189.424004</v>
      </c>
      <c r="P38" s="15">
        <f t="shared" ref="P38:P44" si="9">I41</f>
        <v>2157.575996</v>
      </c>
      <c r="Q38" s="4">
        <f>$AF$118</f>
        <v>0.99832231546260719</v>
      </c>
      <c r="R38" s="7">
        <f t="shared" si="6"/>
        <v>2153.9562641132611</v>
      </c>
    </row>
    <row r="39" spans="4:18" x14ac:dyDescent="0.2">
      <c r="D39">
        <v>316</v>
      </c>
      <c r="E39">
        <v>31</v>
      </c>
      <c r="F39" s="12">
        <v>16</v>
      </c>
      <c r="G39">
        <v>1391</v>
      </c>
      <c r="H39" s="12">
        <f t="shared" ref="H39:H54" si="10">G39*3.412*0.001</f>
        <v>4.746092</v>
      </c>
      <c r="I39" s="12">
        <f t="shared" ref="I39:I54" si="11">F39-H39</f>
        <v>11.253907999999999</v>
      </c>
      <c r="K39" s="31"/>
      <c r="L39" s="31"/>
      <c r="N39">
        <f t="shared" si="7"/>
        <v>322</v>
      </c>
      <c r="O39" s="15">
        <f t="shared" si="8"/>
        <v>58.181424</v>
      </c>
      <c r="P39" s="15">
        <f t="shared" si="9"/>
        <v>56.818576</v>
      </c>
      <c r="Q39" s="4">
        <f>$AF$119</f>
        <v>0.70557464070883003</v>
      </c>
      <c r="R39" s="7">
        <f t="shared" si="6"/>
        <v>40.089746346787351</v>
      </c>
    </row>
    <row r="40" spans="4:18" x14ac:dyDescent="0.2">
      <c r="D40">
        <f>D14</f>
        <v>321</v>
      </c>
      <c r="E40">
        <v>24</v>
      </c>
      <c r="F40" s="12">
        <v>404</v>
      </c>
      <c r="G40">
        <v>16431</v>
      </c>
      <c r="H40" s="12">
        <f t="shared" si="10"/>
        <v>56.062572000000003</v>
      </c>
      <c r="I40" s="12">
        <f t="shared" si="11"/>
        <v>347.93742800000001</v>
      </c>
      <c r="K40" s="31"/>
      <c r="L40" s="31"/>
      <c r="N40">
        <f t="shared" si="7"/>
        <v>323</v>
      </c>
      <c r="O40" s="15">
        <f t="shared" si="8"/>
        <v>106.19508800000001</v>
      </c>
      <c r="P40" s="15">
        <f t="shared" si="9"/>
        <v>3015.8049120000001</v>
      </c>
      <c r="Q40" s="4">
        <f>$AF$120</f>
        <v>1.0008325708705155</v>
      </c>
      <c r="R40" s="7">
        <f t="shared" si="6"/>
        <v>3018.3157833208888</v>
      </c>
    </row>
    <row r="41" spans="4:18" x14ac:dyDescent="0.2">
      <c r="D41">
        <f t="shared" ref="D41:D54" si="12">D15</f>
        <v>322</v>
      </c>
      <c r="E41">
        <v>26</v>
      </c>
      <c r="F41" s="12">
        <v>2347</v>
      </c>
      <c r="G41">
        <v>55517</v>
      </c>
      <c r="H41" s="12">
        <f t="shared" si="10"/>
        <v>189.424004</v>
      </c>
      <c r="I41" s="12">
        <f t="shared" si="11"/>
        <v>2157.575996</v>
      </c>
      <c r="K41" s="31"/>
      <c r="L41" s="31"/>
      <c r="N41">
        <f t="shared" si="7"/>
        <v>324</v>
      </c>
      <c r="O41" s="15">
        <f t="shared" si="8"/>
        <v>415.76584800000001</v>
      </c>
      <c r="P41" s="15">
        <f t="shared" si="9"/>
        <v>2446.234152</v>
      </c>
      <c r="Q41" s="4">
        <f>$AF$121</f>
        <v>0.99144124267556832</v>
      </c>
      <c r="R41" s="7">
        <f t="shared" si="6"/>
        <v>2425.2974275342949</v>
      </c>
    </row>
    <row r="42" spans="4:18" x14ac:dyDescent="0.2">
      <c r="D42">
        <f t="shared" si="12"/>
        <v>323</v>
      </c>
      <c r="E42">
        <v>27</v>
      </c>
      <c r="F42" s="12">
        <v>115</v>
      </c>
      <c r="G42">
        <v>17052</v>
      </c>
      <c r="H42" s="12">
        <f t="shared" si="10"/>
        <v>58.181424</v>
      </c>
      <c r="I42" s="12">
        <f t="shared" si="11"/>
        <v>56.818576</v>
      </c>
      <c r="K42" s="31"/>
      <c r="L42" s="31"/>
      <c r="N42">
        <f t="shared" si="7"/>
        <v>325</v>
      </c>
      <c r="O42" s="15">
        <f t="shared" si="8"/>
        <v>106.792188</v>
      </c>
      <c r="P42" s="15">
        <f t="shared" si="9"/>
        <v>145.20781199999999</v>
      </c>
      <c r="Q42" s="4">
        <f>$AF$122</f>
        <v>1.0355216047246407</v>
      </c>
      <c r="R42" s="7">
        <f t="shared" si="6"/>
        <v>150.36582650079393</v>
      </c>
    </row>
    <row r="43" spans="4:18" x14ac:dyDescent="0.2">
      <c r="D43">
        <f t="shared" si="12"/>
        <v>324</v>
      </c>
      <c r="F43" s="12">
        <v>3122</v>
      </c>
      <c r="G43">
        <v>31124</v>
      </c>
      <c r="H43" s="12">
        <f t="shared" si="10"/>
        <v>106.19508800000001</v>
      </c>
      <c r="I43" s="12">
        <f t="shared" si="11"/>
        <v>3015.8049120000001</v>
      </c>
      <c r="K43" s="31"/>
      <c r="L43" s="31"/>
      <c r="N43">
        <f t="shared" si="7"/>
        <v>326</v>
      </c>
      <c r="O43" s="15">
        <f t="shared" si="8"/>
        <v>115.301716</v>
      </c>
      <c r="P43" s="15">
        <f t="shared" si="9"/>
        <v>884.69828400000006</v>
      </c>
      <c r="Q43" s="4">
        <f>$AF$123</f>
        <v>0.99993870938021057</v>
      </c>
      <c r="R43" s="7">
        <f t="shared" si="6"/>
        <v>884.64406029384702</v>
      </c>
    </row>
    <row r="44" spans="4:18" x14ac:dyDescent="0.2">
      <c r="D44">
        <f t="shared" si="12"/>
        <v>325</v>
      </c>
      <c r="F44" s="12">
        <v>2862</v>
      </c>
      <c r="G44">
        <v>121854</v>
      </c>
      <c r="H44" s="12">
        <f t="shared" si="10"/>
        <v>415.76584800000001</v>
      </c>
      <c r="I44" s="12">
        <f t="shared" si="11"/>
        <v>2446.234152</v>
      </c>
      <c r="K44" s="31"/>
      <c r="L44" s="31"/>
      <c r="N44">
        <f t="shared" si="7"/>
        <v>327</v>
      </c>
      <c r="O44" s="15">
        <f t="shared" si="8"/>
        <v>509.077224</v>
      </c>
      <c r="P44" s="15">
        <f t="shared" si="9"/>
        <v>2112.9227759999999</v>
      </c>
      <c r="Q44" s="4">
        <f>$AF$124</f>
        <v>1.010397468376462</v>
      </c>
      <c r="R44" s="7">
        <f t="shared" si="6"/>
        <v>2134.8918237453663</v>
      </c>
    </row>
    <row r="45" spans="4:18" x14ac:dyDescent="0.2">
      <c r="D45">
        <f t="shared" si="12"/>
        <v>326</v>
      </c>
      <c r="F45" s="12">
        <v>252</v>
      </c>
      <c r="G45">
        <v>31299</v>
      </c>
      <c r="H45" s="12">
        <f t="shared" si="10"/>
        <v>106.792188</v>
      </c>
      <c r="I45" s="12">
        <f t="shared" si="11"/>
        <v>145.20781199999999</v>
      </c>
      <c r="K45" s="31"/>
      <c r="L45" s="31"/>
      <c r="N45">
        <f t="shared" si="7"/>
        <v>331</v>
      </c>
      <c r="O45" s="15">
        <f>H48</f>
        <v>105.60822400000001</v>
      </c>
      <c r="P45" s="15">
        <f>I48+$AL$142*I49-$AL$149*I48</f>
        <v>249.89227488</v>
      </c>
      <c r="Q45" s="4">
        <f>$AF$125</f>
        <v>1.0050318572657224</v>
      </c>
      <c r="R45" s="7">
        <f t="shared" si="6"/>
        <v>251.14969713900282</v>
      </c>
    </row>
    <row r="46" spans="4:18" x14ac:dyDescent="0.2">
      <c r="D46">
        <f t="shared" si="12"/>
        <v>327</v>
      </c>
      <c r="F46" s="12">
        <v>1000</v>
      </c>
      <c r="G46">
        <v>33793</v>
      </c>
      <c r="H46" s="12">
        <f t="shared" si="10"/>
        <v>115.301716</v>
      </c>
      <c r="I46" s="12">
        <f t="shared" si="11"/>
        <v>884.69828400000006</v>
      </c>
      <c r="K46" s="31"/>
      <c r="L46" s="31"/>
      <c r="N46">
        <f t="shared" si="7"/>
        <v>332</v>
      </c>
      <c r="O46" s="15">
        <f>0.9*H49</f>
        <v>102.810384</v>
      </c>
      <c r="P46" s="15">
        <f>I49-$AL$142*I49-$AL$140*I49-$AL$141*I49+$AL$146*I50</f>
        <v>140.20566463999998</v>
      </c>
      <c r="Q46" s="4">
        <f>$AF$126</f>
        <v>0.99057294439314503</v>
      </c>
      <c r="R46" s="7">
        <f t="shared" si="6"/>
        <v>138.88393804304263</v>
      </c>
    </row>
    <row r="47" spans="4:18" x14ac:dyDescent="0.2">
      <c r="D47">
        <f t="shared" si="12"/>
        <v>331</v>
      </c>
      <c r="F47" s="12">
        <v>2622</v>
      </c>
      <c r="G47">
        <v>149202</v>
      </c>
      <c r="H47" s="12">
        <f t="shared" si="10"/>
        <v>509.077224</v>
      </c>
      <c r="I47" s="12">
        <f t="shared" si="11"/>
        <v>2112.9227759999999</v>
      </c>
      <c r="K47" s="31"/>
      <c r="L47" s="31"/>
      <c r="N47">
        <f t="shared" si="7"/>
        <v>333</v>
      </c>
      <c r="O47">
        <f>0.1*H49+0.35*H51+0.5*H50</f>
        <v>73.931898399999994</v>
      </c>
      <c r="P47">
        <f>$AL$140*I49+$AL$153*I50+$AL$151*I51</f>
        <v>61.255660160000005</v>
      </c>
      <c r="Q47" s="4">
        <f>$AF$127</f>
        <v>1.0234677016554385</v>
      </c>
      <c r="R47" s="7">
        <f t="shared" si="6"/>
        <v>62.693189717341816</v>
      </c>
    </row>
    <row r="48" spans="4:18" x14ac:dyDescent="0.2">
      <c r="D48">
        <f t="shared" si="12"/>
        <v>332</v>
      </c>
      <c r="F48" s="12">
        <v>343</v>
      </c>
      <c r="G48">
        <v>30952</v>
      </c>
      <c r="H48" s="12">
        <f t="shared" si="10"/>
        <v>105.60822400000001</v>
      </c>
      <c r="I48" s="12">
        <f t="shared" si="11"/>
        <v>237.39177599999999</v>
      </c>
      <c r="K48" s="31"/>
      <c r="L48" s="31"/>
      <c r="N48">
        <f t="shared" si="7"/>
        <v>334</v>
      </c>
      <c r="O48">
        <f>0.65*H51</f>
        <v>70.6413656</v>
      </c>
      <c r="P48">
        <f>(1-$AL$150-$AL$151)*I51</f>
        <v>72.298263679999991</v>
      </c>
      <c r="Q48" s="4">
        <f>$AF$128</f>
        <v>0.8929284199379155</v>
      </c>
      <c r="R48" s="7">
        <f t="shared" si="6"/>
        <v>64.55717435203718</v>
      </c>
    </row>
    <row r="49" spans="4:33" x14ac:dyDescent="0.2">
      <c r="D49">
        <f t="shared" si="12"/>
        <v>333</v>
      </c>
      <c r="F49" s="12">
        <v>276</v>
      </c>
      <c r="G49">
        <v>33480</v>
      </c>
      <c r="H49" s="12">
        <f t="shared" si="10"/>
        <v>114.23376</v>
      </c>
      <c r="I49" s="12">
        <f t="shared" si="11"/>
        <v>161.76623999999998</v>
      </c>
      <c r="K49" s="31"/>
      <c r="L49" s="31"/>
      <c r="N49">
        <f t="shared" si="7"/>
        <v>335</v>
      </c>
      <c r="O49" s="15">
        <f>H52</f>
        <v>127.20959599999999</v>
      </c>
      <c r="P49" s="15">
        <f>I52+$AL$149*I48+R$141*I49+$AL$150*I51</f>
        <v>242.66066736000002</v>
      </c>
      <c r="Q49" s="4">
        <f>$AF$129</f>
        <v>1.0499456144576871</v>
      </c>
      <c r="R49" s="7">
        <f t="shared" si="6"/>
        <v>254.78050349600764</v>
      </c>
    </row>
    <row r="50" spans="4:33" x14ac:dyDescent="0.2">
      <c r="D50">
        <f t="shared" si="12"/>
        <v>334</v>
      </c>
      <c r="E50">
        <v>38</v>
      </c>
      <c r="F50" s="12">
        <v>113</v>
      </c>
      <c r="G50">
        <v>14344</v>
      </c>
      <c r="H50" s="12">
        <f t="shared" si="10"/>
        <v>48.941727999999998</v>
      </c>
      <c r="I50" s="12">
        <f t="shared" si="11"/>
        <v>64.058272000000002</v>
      </c>
      <c r="K50" s="31"/>
      <c r="L50" s="31"/>
      <c r="N50">
        <f t="shared" si="7"/>
        <v>336</v>
      </c>
      <c r="O50" s="15">
        <f>H53</f>
        <v>19.281212</v>
      </c>
      <c r="P50" s="15">
        <f>I53</f>
        <v>43.718788000000004</v>
      </c>
      <c r="Q50" s="4">
        <f>$AF$130</f>
        <v>1.1125687426632083</v>
      </c>
      <c r="R50" s="7">
        <f t="shared" si="6"/>
        <v>48.640156995919362</v>
      </c>
    </row>
    <row r="51" spans="4:33" ht="13.5" thickBot="1" x14ac:dyDescent="0.25">
      <c r="D51">
        <f t="shared" si="12"/>
        <v>335</v>
      </c>
      <c r="F51">
        <v>215</v>
      </c>
      <c r="G51">
        <v>31852</v>
      </c>
      <c r="H51" s="12">
        <f t="shared" si="10"/>
        <v>108.679024</v>
      </c>
      <c r="I51" s="12">
        <f t="shared" si="11"/>
        <v>106.320976</v>
      </c>
      <c r="K51" s="31"/>
      <c r="L51" s="31"/>
      <c r="N51">
        <f t="shared" si="7"/>
        <v>337</v>
      </c>
      <c r="O51">
        <f>H54+0.5*H50</f>
        <v>38.743259999999999</v>
      </c>
      <c r="P51" s="1">
        <f>I54+$AL$147*I50</f>
        <v>48.507416480000003</v>
      </c>
      <c r="Q51" s="26">
        <f>$AF$131</f>
        <v>0.93664838905802084</v>
      </c>
      <c r="R51" s="27">
        <f t="shared" si="6"/>
        <v>45.434393503358493</v>
      </c>
    </row>
    <row r="52" spans="4:33" x14ac:dyDescent="0.2">
      <c r="D52">
        <f t="shared" si="12"/>
        <v>336</v>
      </c>
      <c r="F52" s="12">
        <v>349</v>
      </c>
      <c r="G52">
        <v>37283</v>
      </c>
      <c r="H52" s="12">
        <f t="shared" si="10"/>
        <v>127.20959599999999</v>
      </c>
      <c r="I52" s="12">
        <f t="shared" si="11"/>
        <v>221.79040400000002</v>
      </c>
      <c r="K52" s="31"/>
      <c r="L52" s="31"/>
      <c r="O52" s="15">
        <f>SUM(O34:O51)</f>
        <v>2398.2095000000004</v>
      </c>
      <c r="P52" s="15">
        <f>SUM(P34:P51)</f>
        <v>13087.555175200003</v>
      </c>
      <c r="Q52" s="15"/>
      <c r="R52" s="15">
        <f>SUM(R34:R51)</f>
        <v>13042.115484022981</v>
      </c>
    </row>
    <row r="53" spans="4:33" x14ac:dyDescent="0.2">
      <c r="D53">
        <f t="shared" si="12"/>
        <v>337</v>
      </c>
      <c r="F53" s="12">
        <v>63</v>
      </c>
      <c r="G53">
        <v>5651</v>
      </c>
      <c r="H53" s="12">
        <f t="shared" si="10"/>
        <v>19.281212</v>
      </c>
      <c r="I53" s="12">
        <f t="shared" si="11"/>
        <v>43.718788000000004</v>
      </c>
      <c r="K53" s="31"/>
      <c r="L53" s="31"/>
    </row>
    <row r="54" spans="4:33" x14ac:dyDescent="0.2">
      <c r="D54">
        <f t="shared" si="12"/>
        <v>339</v>
      </c>
      <c r="F54" s="12">
        <v>41</v>
      </c>
      <c r="G54">
        <v>4183</v>
      </c>
      <c r="H54" s="12">
        <f t="shared" si="10"/>
        <v>14.272395999999999</v>
      </c>
      <c r="I54" s="12">
        <f t="shared" si="11"/>
        <v>26.727603999999999</v>
      </c>
      <c r="K54" s="31"/>
      <c r="L54" s="31"/>
    </row>
    <row r="55" spans="4:33" x14ac:dyDescent="0.2">
      <c r="F55" s="15">
        <f>SUM(F34:F54)</f>
        <v>15489</v>
      </c>
      <c r="G55" s="15">
        <f>SUM(G34:G54)</f>
        <v>702875</v>
      </c>
      <c r="H55" s="15">
        <f>SUM(H34:H54)</f>
        <v>2398.2094999999999</v>
      </c>
      <c r="I55" s="15">
        <f>SUM(I34:I54)</f>
        <v>13090.790500000003</v>
      </c>
      <c r="K55" s="31"/>
      <c r="L55" s="31"/>
    </row>
    <row r="56" spans="4:33" x14ac:dyDescent="0.2">
      <c r="K56" s="31"/>
      <c r="L56" s="31"/>
    </row>
    <row r="57" spans="4:33" x14ac:dyDescent="0.2">
      <c r="K57" s="31"/>
      <c r="L57" s="31"/>
    </row>
    <row r="58" spans="4:33" x14ac:dyDescent="0.2">
      <c r="D58">
        <v>1991</v>
      </c>
      <c r="E58" t="s">
        <v>38</v>
      </c>
      <c r="F58" t="s">
        <v>41</v>
      </c>
      <c r="K58" s="31"/>
      <c r="L58" s="31"/>
      <c r="N58" t="s">
        <v>39</v>
      </c>
    </row>
    <row r="59" spans="4:33" ht="45.75" thickBot="1" x14ac:dyDescent="0.25">
      <c r="F59" s="10" t="s">
        <v>33</v>
      </c>
      <c r="G59" s="11" t="s">
        <v>34</v>
      </c>
      <c r="H59" s="11" t="s">
        <v>35</v>
      </c>
      <c r="I59" s="11" t="s">
        <v>36</v>
      </c>
      <c r="J59" s="13" t="s">
        <v>37</v>
      </c>
      <c r="K59" s="32"/>
      <c r="L59" s="32"/>
      <c r="O59" s="17" t="s">
        <v>35</v>
      </c>
      <c r="P59" s="24" t="s">
        <v>90</v>
      </c>
      <c r="Q59" s="25" t="s">
        <v>63</v>
      </c>
      <c r="R59" s="25" t="s">
        <v>62</v>
      </c>
    </row>
    <row r="60" spans="4:33" x14ac:dyDescent="0.2">
      <c r="D60" s="2">
        <v>311</v>
      </c>
      <c r="E60">
        <v>20</v>
      </c>
      <c r="F60" s="12">
        <v>953</v>
      </c>
      <c r="G60" s="12">
        <v>49536</v>
      </c>
      <c r="H60" s="12">
        <f>G60*3.412*0.001</f>
        <v>169.01683199999999</v>
      </c>
      <c r="I60" s="12">
        <f>F60-H60</f>
        <v>783.98316799999998</v>
      </c>
      <c r="J60" s="14" t="e">
        <f>F60-G60-#REF!-#REF!-#REF!</f>
        <v>#REF!</v>
      </c>
      <c r="K60" s="19"/>
      <c r="L60" s="19"/>
      <c r="N60" t="s">
        <v>12</v>
      </c>
      <c r="O60" s="15">
        <f>H60+H61</f>
        <v>172.43565599999999</v>
      </c>
      <c r="P60" s="15">
        <f>I60+I61</f>
        <v>804.56434400000001</v>
      </c>
      <c r="Q60" s="4">
        <f>$AF$114</f>
        <v>1.0063510216507281</v>
      </c>
      <c r="R60" s="7">
        <f>Q60*P60</f>
        <v>809.67414956814787</v>
      </c>
    </row>
    <row r="61" spans="4:33" x14ac:dyDescent="0.2">
      <c r="D61" s="2">
        <v>312</v>
      </c>
      <c r="E61">
        <v>21</v>
      </c>
      <c r="F61" s="12">
        <v>24</v>
      </c>
      <c r="G61" s="12">
        <v>1002</v>
      </c>
      <c r="H61" s="12">
        <f>G61*3.412*0.001</f>
        <v>3.4188240000000003</v>
      </c>
      <c r="I61" s="12">
        <f>F61-H61</f>
        <v>20.581175999999999</v>
      </c>
      <c r="J61" s="14" t="e">
        <f>F61-G61-#REF!-#REF!-#REF!</f>
        <v>#REF!</v>
      </c>
      <c r="K61" s="19"/>
      <c r="L61" s="19"/>
      <c r="N61" t="s">
        <v>13</v>
      </c>
      <c r="O61" s="15">
        <f>H62</f>
        <v>100.763184</v>
      </c>
      <c r="P61" s="15">
        <f>I62+I63</f>
        <v>172.236816</v>
      </c>
      <c r="Q61" s="4">
        <f>$AF$115</f>
        <v>0.97092854611113166</v>
      </c>
      <c r="R61" s="7">
        <f t="shared" ref="R61:R77" si="13">Q61*P61</f>
        <v>167.22964134569051</v>
      </c>
    </row>
    <row r="62" spans="4:33" x14ac:dyDescent="0.2">
      <c r="D62" s="2">
        <v>313</v>
      </c>
      <c r="E62">
        <v>22</v>
      </c>
      <c r="F62" s="12">
        <v>273</v>
      </c>
      <c r="G62" s="12">
        <v>29532</v>
      </c>
      <c r="H62" s="12">
        <f>G62*3.412*0.001</f>
        <v>100.763184</v>
      </c>
      <c r="I62" s="12">
        <f>F62-H62</f>
        <v>172.236816</v>
      </c>
      <c r="J62" s="14" t="e">
        <f>F62-H62-#REF!-#REF!-#REF!</f>
        <v>#REF!</v>
      </c>
      <c r="K62" s="19"/>
      <c r="L62" s="19"/>
      <c r="N62" t="s">
        <v>14</v>
      </c>
      <c r="O62" s="15">
        <f>H64+H65</f>
        <v>21.973279999999999</v>
      </c>
      <c r="P62" s="15">
        <f>I64+I65</f>
        <v>34.026719999999997</v>
      </c>
      <c r="Q62" s="4">
        <f>$AF$116</f>
        <v>1.0862977017311064</v>
      </c>
      <c r="R62" s="7">
        <f t="shared" si="13"/>
        <v>36.963147733447869</v>
      </c>
    </row>
    <row r="63" spans="4:33" x14ac:dyDescent="0.2">
      <c r="D63">
        <v>314</v>
      </c>
      <c r="J63" s="3"/>
      <c r="K63" s="31"/>
      <c r="L63" s="31"/>
      <c r="N63">
        <v>321</v>
      </c>
      <c r="O63" s="15">
        <f>H66</f>
        <v>60.999735999999999</v>
      </c>
      <c r="P63" s="15">
        <f>I66</f>
        <v>362.00026400000002</v>
      </c>
      <c r="Q63" s="4">
        <f>$AF$117</f>
        <v>0.86970227612053164</v>
      </c>
      <c r="R63" s="7">
        <f t="shared" si="13"/>
        <v>314.83245355703338</v>
      </c>
      <c r="AG63" s="20"/>
    </row>
    <row r="64" spans="4:33" x14ac:dyDescent="0.2">
      <c r="D64">
        <v>315</v>
      </c>
      <c r="E64">
        <v>23</v>
      </c>
      <c r="F64">
        <v>44</v>
      </c>
      <c r="G64">
        <v>5645</v>
      </c>
      <c r="H64" s="12">
        <f>G64*3.412*0.001</f>
        <v>19.260739999999998</v>
      </c>
      <c r="I64" s="12">
        <f>F64-H64</f>
        <v>24.739260000000002</v>
      </c>
      <c r="J64" s="14" t="e">
        <f>F64-H64-#REF!-#REF!-#REF!</f>
        <v>#REF!</v>
      </c>
      <c r="K64" s="19"/>
      <c r="L64" s="19"/>
      <c r="N64">
        <f>D67</f>
        <v>322</v>
      </c>
      <c r="O64" s="15">
        <f t="shared" ref="O64:O70" si="14">H67</f>
        <v>200.95315200000002</v>
      </c>
      <c r="P64" s="15">
        <f t="shared" ref="P64:P70" si="15">I67</f>
        <v>2271.046848</v>
      </c>
      <c r="Q64" s="4">
        <f>$AF$118</f>
        <v>0.99832231546260719</v>
      </c>
      <c r="R64" s="7">
        <f t="shared" si="13"/>
        <v>2267.2367478194155</v>
      </c>
    </row>
    <row r="65" spans="4:18" x14ac:dyDescent="0.2">
      <c r="D65">
        <v>316</v>
      </c>
      <c r="E65">
        <v>31</v>
      </c>
      <c r="F65" s="12">
        <v>12</v>
      </c>
      <c r="G65">
        <v>795</v>
      </c>
      <c r="H65" s="12">
        <f t="shared" ref="H65:H80" si="16">G65*3.412*0.001</f>
        <v>2.7125400000000002</v>
      </c>
      <c r="I65" s="12">
        <f t="shared" ref="I65:I80" si="17">F65-H65</f>
        <v>9.2874599999999994</v>
      </c>
      <c r="K65" s="31"/>
      <c r="L65" s="31"/>
      <c r="N65">
        <f t="shared" ref="N65:N77" si="18">D68</f>
        <v>323</v>
      </c>
      <c r="O65" s="15">
        <f t="shared" si="14"/>
        <v>53.326148000000003</v>
      </c>
      <c r="P65" s="15">
        <f t="shared" si="15"/>
        <v>54.673851999999997</v>
      </c>
      <c r="Q65" s="4">
        <f>$AF$119</f>
        <v>0.70557464070883003</v>
      </c>
      <c r="R65" s="7">
        <f t="shared" si="13"/>
        <v>38.576483481067747</v>
      </c>
    </row>
    <row r="66" spans="4:18" x14ac:dyDescent="0.2">
      <c r="D66">
        <f>D14</f>
        <v>321</v>
      </c>
      <c r="E66">
        <v>24</v>
      </c>
      <c r="F66" s="12">
        <v>423</v>
      </c>
      <c r="G66">
        <v>17878</v>
      </c>
      <c r="H66" s="12">
        <f t="shared" si="16"/>
        <v>60.999735999999999</v>
      </c>
      <c r="I66" s="12">
        <f t="shared" si="17"/>
        <v>362.00026400000002</v>
      </c>
      <c r="K66" s="31"/>
      <c r="L66" s="31"/>
      <c r="N66">
        <f t="shared" si="18"/>
        <v>324</v>
      </c>
      <c r="O66" s="15">
        <f t="shared" si="14"/>
        <v>105.028184</v>
      </c>
      <c r="P66" s="15">
        <f t="shared" si="15"/>
        <v>2881.9718160000002</v>
      </c>
      <c r="Q66" s="4">
        <f>$AF$120</f>
        <v>1.0008325708705155</v>
      </c>
      <c r="R66" s="7">
        <f t="shared" si="13"/>
        <v>2884.3712617836486</v>
      </c>
    </row>
    <row r="67" spans="4:18" x14ac:dyDescent="0.2">
      <c r="D67">
        <f t="shared" ref="D67:D80" si="19">D15</f>
        <v>322</v>
      </c>
      <c r="E67">
        <v>26</v>
      </c>
      <c r="F67" s="12">
        <v>2472</v>
      </c>
      <c r="G67">
        <v>58896</v>
      </c>
      <c r="H67" s="12">
        <f t="shared" si="16"/>
        <v>200.95315200000002</v>
      </c>
      <c r="I67" s="12">
        <f t="shared" si="17"/>
        <v>2271.046848</v>
      </c>
      <c r="K67" s="31"/>
      <c r="L67" s="31"/>
      <c r="N67">
        <f t="shared" si="18"/>
        <v>325</v>
      </c>
      <c r="O67" s="15">
        <f t="shared" si="14"/>
        <v>440.46531599999997</v>
      </c>
      <c r="P67" s="15">
        <f t="shared" si="15"/>
        <v>2599.5346840000002</v>
      </c>
      <c r="Q67" s="4">
        <f>$AF$121</f>
        <v>0.99144124267556832</v>
      </c>
      <c r="R67" s="7">
        <f t="shared" si="13"/>
        <v>2577.2858974832011</v>
      </c>
    </row>
    <row r="68" spans="4:18" x14ac:dyDescent="0.2">
      <c r="D68">
        <f t="shared" si="19"/>
        <v>323</v>
      </c>
      <c r="E68">
        <v>27</v>
      </c>
      <c r="F68" s="12">
        <v>108</v>
      </c>
      <c r="G68">
        <v>15629</v>
      </c>
      <c r="H68" s="12">
        <f t="shared" si="16"/>
        <v>53.326148000000003</v>
      </c>
      <c r="I68" s="12">
        <f t="shared" si="17"/>
        <v>54.673851999999997</v>
      </c>
      <c r="K68" s="31"/>
      <c r="L68" s="31"/>
      <c r="N68">
        <f t="shared" si="18"/>
        <v>326</v>
      </c>
      <c r="O68" s="15">
        <f t="shared" si="14"/>
        <v>115.69409599999999</v>
      </c>
      <c r="P68" s="15">
        <f t="shared" si="15"/>
        <v>121.30590400000001</v>
      </c>
      <c r="Q68" s="4">
        <f>$AF$122</f>
        <v>1.0355216047246407</v>
      </c>
      <c r="R68" s="7">
        <f t="shared" si="13"/>
        <v>125.61488437265322</v>
      </c>
    </row>
    <row r="69" spans="4:18" x14ac:dyDescent="0.2">
      <c r="D69">
        <f t="shared" si="19"/>
        <v>324</v>
      </c>
      <c r="E69">
        <v>29</v>
      </c>
      <c r="F69" s="12">
        <v>2987</v>
      </c>
      <c r="G69">
        <v>30782</v>
      </c>
      <c r="H69" s="12">
        <f t="shared" si="16"/>
        <v>105.028184</v>
      </c>
      <c r="I69" s="12">
        <f t="shared" si="17"/>
        <v>2881.9718160000002</v>
      </c>
      <c r="K69" s="31"/>
      <c r="L69" s="31"/>
      <c r="N69">
        <f t="shared" si="18"/>
        <v>327</v>
      </c>
      <c r="O69" s="15">
        <f t="shared" si="14"/>
        <v>105.13736800000001</v>
      </c>
      <c r="P69" s="15">
        <f t="shared" si="15"/>
        <v>788.86263199999996</v>
      </c>
      <c r="Q69" s="4">
        <f>$AF$123</f>
        <v>0.99993870938021057</v>
      </c>
      <c r="R69" s="7">
        <f t="shared" si="13"/>
        <v>788.81428212035598</v>
      </c>
    </row>
    <row r="70" spans="4:18" x14ac:dyDescent="0.2">
      <c r="D70">
        <f t="shared" si="19"/>
        <v>325</v>
      </c>
      <c r="E70">
        <v>28</v>
      </c>
      <c r="F70" s="12">
        <v>3040</v>
      </c>
      <c r="G70">
        <v>129093</v>
      </c>
      <c r="H70" s="12">
        <f t="shared" si="16"/>
        <v>440.46531599999997</v>
      </c>
      <c r="I70" s="12">
        <f t="shared" si="17"/>
        <v>2599.5346840000002</v>
      </c>
      <c r="K70" s="31"/>
      <c r="L70" s="31"/>
      <c r="N70">
        <f t="shared" si="18"/>
        <v>331</v>
      </c>
      <c r="O70" s="15">
        <f t="shared" si="14"/>
        <v>499.09371199999998</v>
      </c>
      <c r="P70" s="15">
        <f t="shared" si="15"/>
        <v>1792.9062880000001</v>
      </c>
      <c r="Q70" s="4">
        <f>$AF$124</f>
        <v>1.010397468376462</v>
      </c>
      <c r="R70" s="7">
        <f t="shared" si="13"/>
        <v>1811.54797443144</v>
      </c>
    </row>
    <row r="71" spans="4:18" x14ac:dyDescent="0.2">
      <c r="D71">
        <f t="shared" si="19"/>
        <v>326</v>
      </c>
      <c r="E71">
        <v>30</v>
      </c>
      <c r="F71" s="12">
        <v>237</v>
      </c>
      <c r="G71">
        <v>33908</v>
      </c>
      <c r="H71" s="12">
        <f t="shared" si="16"/>
        <v>115.69409599999999</v>
      </c>
      <c r="I71" s="12">
        <f t="shared" si="17"/>
        <v>121.30590400000001</v>
      </c>
      <c r="K71" s="31"/>
      <c r="L71" s="31"/>
      <c r="N71">
        <f t="shared" si="18"/>
        <v>332</v>
      </c>
      <c r="O71" s="15">
        <f>H74</f>
        <v>101.582064</v>
      </c>
      <c r="P71" s="15">
        <f>I74+$AN$142*I75-$AN$149*I74</f>
        <v>216.193199472</v>
      </c>
      <c r="Q71" s="4">
        <f>$AF$125</f>
        <v>1.0050318572657224</v>
      </c>
      <c r="R71" s="7">
        <f t="shared" si="13"/>
        <v>217.28105279356296</v>
      </c>
    </row>
    <row r="72" spans="4:18" x14ac:dyDescent="0.2">
      <c r="D72">
        <f t="shared" si="19"/>
        <v>327</v>
      </c>
      <c r="E72">
        <v>32</v>
      </c>
      <c r="F72" s="12">
        <v>894</v>
      </c>
      <c r="G72">
        <v>30814</v>
      </c>
      <c r="H72" s="12">
        <f t="shared" si="16"/>
        <v>105.13736800000001</v>
      </c>
      <c r="I72" s="12">
        <f t="shared" si="17"/>
        <v>788.86263199999996</v>
      </c>
      <c r="K72" s="31"/>
      <c r="L72" s="31"/>
      <c r="N72">
        <f t="shared" si="18"/>
        <v>333</v>
      </c>
      <c r="O72" s="15">
        <f>0.9*H75</f>
        <v>90.539467200000004</v>
      </c>
      <c r="P72" s="15">
        <f>I75-$AN$142*I75-$AN$140*I75-$AN$141*I75+$AN$146*I76</f>
        <v>114.559619368</v>
      </c>
      <c r="Q72" s="4">
        <f>$AF$126</f>
        <v>0.99057294439314503</v>
      </c>
      <c r="R72" s="7">
        <f t="shared" si="13"/>
        <v>113.47965946591772</v>
      </c>
    </row>
    <row r="73" spans="4:18" x14ac:dyDescent="0.2">
      <c r="D73">
        <f t="shared" si="19"/>
        <v>331</v>
      </c>
      <c r="E73">
        <v>33</v>
      </c>
      <c r="F73" s="12">
        <v>2292</v>
      </c>
      <c r="G73">
        <v>146276</v>
      </c>
      <c r="H73" s="12">
        <f t="shared" si="16"/>
        <v>499.09371199999998</v>
      </c>
      <c r="I73" s="12">
        <f t="shared" si="17"/>
        <v>1792.9062880000001</v>
      </c>
      <c r="K73" s="31"/>
      <c r="L73" s="31"/>
      <c r="N73">
        <f t="shared" si="18"/>
        <v>334</v>
      </c>
      <c r="O73" s="7">
        <f>0.1*H75+0.35*H77+0.5*H76</f>
        <v>66.979265999999996</v>
      </c>
      <c r="P73" s="7">
        <f>$AN$140*I75+$AN$153*I76+$AN$151*I77</f>
        <v>54.931596096000007</v>
      </c>
      <c r="Q73" s="4">
        <f>$AF$127</f>
        <v>1.0234677016554385</v>
      </c>
      <c r="R73" s="7">
        <f t="shared" si="13"/>
        <v>56.220714404637988</v>
      </c>
    </row>
    <row r="74" spans="4:18" x14ac:dyDescent="0.2">
      <c r="D74">
        <f t="shared" si="19"/>
        <v>332</v>
      </c>
      <c r="E74">
        <v>34</v>
      </c>
      <c r="F74" s="12">
        <v>305</v>
      </c>
      <c r="G74">
        <v>29772</v>
      </c>
      <c r="H74" s="12">
        <f t="shared" si="16"/>
        <v>101.582064</v>
      </c>
      <c r="I74" s="12">
        <f t="shared" si="17"/>
        <v>203.417936</v>
      </c>
      <c r="K74" s="31"/>
      <c r="L74" s="31"/>
      <c r="N74">
        <f t="shared" si="18"/>
        <v>335</v>
      </c>
      <c r="O74" s="7">
        <f>0.65*H77</f>
        <v>66.525128800000005</v>
      </c>
      <c r="P74" s="7">
        <f>(1-$AN$150-$AN$151)*I77</f>
        <v>62.279675919999995</v>
      </c>
      <c r="Q74" s="4">
        <f>$AF$128</f>
        <v>0.8929284199379155</v>
      </c>
      <c r="R74" s="7">
        <f t="shared" si="13"/>
        <v>55.611292613491038</v>
      </c>
    </row>
    <row r="75" spans="4:18" x14ac:dyDescent="0.2">
      <c r="D75">
        <f t="shared" si="19"/>
        <v>333</v>
      </c>
      <c r="E75">
        <v>35</v>
      </c>
      <c r="F75" s="12">
        <v>235</v>
      </c>
      <c r="G75">
        <v>29484</v>
      </c>
      <c r="H75" s="12">
        <f t="shared" si="16"/>
        <v>100.599408</v>
      </c>
      <c r="I75" s="12">
        <f t="shared" si="17"/>
        <v>134.40059200000002</v>
      </c>
      <c r="K75" s="31"/>
      <c r="L75" s="31"/>
      <c r="N75">
        <f t="shared" si="18"/>
        <v>336</v>
      </c>
      <c r="O75" s="7">
        <f>H78</f>
        <v>118.468052</v>
      </c>
      <c r="P75" s="7">
        <f>I78+$AN$149*I74+R$141*I75+$AN$150*I77</f>
        <v>232.51734944</v>
      </c>
      <c r="Q75" s="4">
        <f>$AF$129</f>
        <v>1.0499456144576871</v>
      </c>
      <c r="R75" s="7">
        <f t="shared" si="13"/>
        <v>244.13057132985355</v>
      </c>
    </row>
    <row r="76" spans="4:18" x14ac:dyDescent="0.2">
      <c r="D76">
        <f t="shared" si="19"/>
        <v>334</v>
      </c>
      <c r="E76" s="3">
        <v>38</v>
      </c>
      <c r="F76" s="12">
        <v>98</v>
      </c>
      <c r="G76">
        <v>12367</v>
      </c>
      <c r="H76" s="12">
        <f t="shared" si="16"/>
        <v>42.196204000000002</v>
      </c>
      <c r="I76" s="12">
        <f t="shared" si="17"/>
        <v>55.803795999999998</v>
      </c>
      <c r="K76" s="31"/>
      <c r="L76" s="31"/>
      <c r="N76">
        <f t="shared" si="18"/>
        <v>337</v>
      </c>
      <c r="O76" s="7">
        <f>H79</f>
        <v>16.76998</v>
      </c>
      <c r="P76" s="7">
        <f>I79</f>
        <v>50.230019999999996</v>
      </c>
      <c r="Q76" s="4">
        <f>$AF$130</f>
        <v>1.1125687426632083</v>
      </c>
      <c r="R76" s="7">
        <f t="shared" si="13"/>
        <v>55.8843501953478</v>
      </c>
    </row>
    <row r="77" spans="4:18" ht="13.5" thickBot="1" x14ac:dyDescent="0.25">
      <c r="D77">
        <f t="shared" si="19"/>
        <v>335</v>
      </c>
      <c r="E77">
        <v>36</v>
      </c>
      <c r="F77">
        <v>196</v>
      </c>
      <c r="G77">
        <v>29996</v>
      </c>
      <c r="H77" s="12">
        <f t="shared" si="16"/>
        <v>102.346352</v>
      </c>
      <c r="I77" s="12">
        <f t="shared" si="17"/>
        <v>93.653648000000004</v>
      </c>
      <c r="K77" s="31"/>
      <c r="L77" s="31"/>
      <c r="N77">
        <f t="shared" si="18"/>
        <v>339</v>
      </c>
      <c r="O77" s="7">
        <f>H80+0.5*H76</f>
        <v>33.589433999999997</v>
      </c>
      <c r="P77" s="27">
        <f>I80+$AN$147*I76</f>
        <v>37.147135863999999</v>
      </c>
      <c r="Q77" s="26">
        <f>$AF$131</f>
        <v>0.93664838905802084</v>
      </c>
      <c r="R77" s="27">
        <f t="shared" si="13"/>
        <v>34.793804965135031</v>
      </c>
    </row>
    <row r="78" spans="4:18" x14ac:dyDescent="0.2">
      <c r="D78">
        <f t="shared" si="19"/>
        <v>336</v>
      </c>
      <c r="E78">
        <v>37</v>
      </c>
      <c r="F78" s="12">
        <v>333</v>
      </c>
      <c r="G78">
        <v>34721</v>
      </c>
      <c r="H78" s="12">
        <f t="shared" si="16"/>
        <v>118.468052</v>
      </c>
      <c r="I78" s="12">
        <f t="shared" si="17"/>
        <v>214.531948</v>
      </c>
      <c r="K78" s="31"/>
      <c r="L78" s="31"/>
      <c r="O78" s="15">
        <f>SUM(O60:O77)</f>
        <v>2370.3232239999998</v>
      </c>
      <c r="P78" s="15">
        <f>SUM(P60:P77)</f>
        <v>12650.98876416</v>
      </c>
      <c r="Q78" s="15"/>
      <c r="R78" s="15">
        <f>SUM(R60:R77)</f>
        <v>12599.548369464048</v>
      </c>
    </row>
    <row r="79" spans="4:18" x14ac:dyDescent="0.2">
      <c r="D79">
        <f t="shared" si="19"/>
        <v>337</v>
      </c>
      <c r="E79">
        <v>25</v>
      </c>
      <c r="F79" s="12">
        <v>67</v>
      </c>
      <c r="G79">
        <v>4915</v>
      </c>
      <c r="H79" s="12">
        <f t="shared" si="16"/>
        <v>16.76998</v>
      </c>
      <c r="I79" s="12">
        <f t="shared" si="17"/>
        <v>50.230019999999996</v>
      </c>
      <c r="K79" s="31"/>
      <c r="L79" s="31"/>
    </row>
    <row r="80" spans="4:18" x14ac:dyDescent="0.2">
      <c r="D80">
        <f t="shared" si="19"/>
        <v>339</v>
      </c>
      <c r="E80">
        <v>39</v>
      </c>
      <c r="F80" s="12">
        <v>31</v>
      </c>
      <c r="G80">
        <v>3661</v>
      </c>
      <c r="H80" s="12">
        <f t="shared" si="16"/>
        <v>12.491332</v>
      </c>
      <c r="I80" s="12">
        <f t="shared" si="17"/>
        <v>18.508668</v>
      </c>
      <c r="K80" s="31"/>
      <c r="L80" s="31"/>
    </row>
    <row r="81" spans="4:18" x14ac:dyDescent="0.2">
      <c r="F81" s="15">
        <f>SUM(F60:F80)</f>
        <v>15024</v>
      </c>
      <c r="G81" s="15">
        <f>SUM(G60:G80)</f>
        <v>694702</v>
      </c>
      <c r="H81" s="15">
        <f>SUM(H60:H80)</f>
        <v>2370.3232239999998</v>
      </c>
      <c r="I81" s="15">
        <f>SUM(I60:I80)</f>
        <v>12653.676776000002</v>
      </c>
      <c r="K81" s="31"/>
      <c r="L81" s="31"/>
    </row>
    <row r="82" spans="4:18" x14ac:dyDescent="0.2">
      <c r="K82" s="31"/>
      <c r="L82" s="31"/>
    </row>
    <row r="83" spans="4:18" x14ac:dyDescent="0.2">
      <c r="K83" s="31"/>
      <c r="L83" s="31"/>
    </row>
    <row r="84" spans="4:18" x14ac:dyDescent="0.2">
      <c r="D84">
        <v>1994</v>
      </c>
      <c r="E84" t="s">
        <v>38</v>
      </c>
      <c r="F84" t="s">
        <v>45</v>
      </c>
      <c r="K84" s="31"/>
      <c r="L84" s="31"/>
      <c r="N84" t="s">
        <v>39</v>
      </c>
    </row>
    <row r="85" spans="4:18" ht="45.75" thickBot="1" x14ac:dyDescent="0.25">
      <c r="F85" s="10" t="s">
        <v>33</v>
      </c>
      <c r="G85" s="11" t="s">
        <v>34</v>
      </c>
      <c r="H85" s="11" t="s">
        <v>35</v>
      </c>
      <c r="I85" s="11" t="s">
        <v>36</v>
      </c>
      <c r="J85" s="13" t="s">
        <v>37</v>
      </c>
      <c r="K85" s="32"/>
      <c r="L85" s="32"/>
      <c r="O85" s="17" t="s">
        <v>35</v>
      </c>
      <c r="P85" s="24" t="s">
        <v>78</v>
      </c>
      <c r="Q85" s="25" t="s">
        <v>63</v>
      </c>
      <c r="R85" s="25" t="s">
        <v>62</v>
      </c>
    </row>
    <row r="86" spans="4:18" x14ac:dyDescent="0.2">
      <c r="D86" s="2">
        <v>311</v>
      </c>
      <c r="E86">
        <v>20</v>
      </c>
      <c r="F86" s="12">
        <v>1183</v>
      </c>
      <c r="G86" s="12">
        <v>58004</v>
      </c>
      <c r="H86" s="12">
        <f>G86*3.412*0.001</f>
        <v>197.909648</v>
      </c>
      <c r="I86" s="12">
        <f>F86-H86</f>
        <v>985.09035199999994</v>
      </c>
      <c r="J86" s="14" t="e">
        <f>F86-G86-#REF!-#REF!-#REF!</f>
        <v>#REF!</v>
      </c>
      <c r="K86" s="19"/>
      <c r="L86" s="19"/>
      <c r="N86" t="s">
        <v>12</v>
      </c>
      <c r="O86" s="15">
        <f>H86+H87</f>
        <v>200.78255200000001</v>
      </c>
      <c r="P86" s="15">
        <f>I86+I87</f>
        <v>1002.217448</v>
      </c>
      <c r="Q86" s="4">
        <f>$AF$114</f>
        <v>1.0063510216507281</v>
      </c>
      <c r="R86" s="7">
        <f>Q86*P86</f>
        <v>1008.5825527109854</v>
      </c>
    </row>
    <row r="87" spans="4:18" x14ac:dyDescent="0.2">
      <c r="D87" s="2">
        <v>312</v>
      </c>
      <c r="E87">
        <v>21</v>
      </c>
      <c r="F87" s="14">
        <v>20</v>
      </c>
      <c r="G87" s="12">
        <v>842</v>
      </c>
      <c r="H87" s="12">
        <f>G87*3.412*0.001</f>
        <v>2.8729040000000001</v>
      </c>
      <c r="I87" s="12">
        <f>F87-H87</f>
        <v>17.127096000000002</v>
      </c>
      <c r="J87" s="14" t="e">
        <f>F87-G87-#REF!-#REF!-#REF!</f>
        <v>#REF!</v>
      </c>
      <c r="K87" s="19"/>
      <c r="L87" s="19"/>
      <c r="N87" t="s">
        <v>13</v>
      </c>
      <c r="O87" s="15">
        <f>H88</f>
        <v>111.27896799999999</v>
      </c>
      <c r="P87" s="15">
        <f>I88+I89</f>
        <v>198.72103200000001</v>
      </c>
      <c r="Q87" s="4">
        <f>$AF$115</f>
        <v>0.97092854611113166</v>
      </c>
      <c r="R87" s="7">
        <f t="shared" ref="R87:R103" si="20">Q87*P87</f>
        <v>192.94392268146368</v>
      </c>
    </row>
    <row r="88" spans="4:18" x14ac:dyDescent="0.2">
      <c r="D88" s="2">
        <v>313</v>
      </c>
      <c r="E88">
        <v>22</v>
      </c>
      <c r="F88" s="12">
        <v>310</v>
      </c>
      <c r="G88" s="12">
        <v>32614</v>
      </c>
      <c r="H88" s="12">
        <f>G88*3.412*0.001</f>
        <v>111.27896799999999</v>
      </c>
      <c r="I88" s="12">
        <f>F88-H88</f>
        <v>198.72103200000001</v>
      </c>
      <c r="J88" s="14" t="e">
        <f>F88-H88-#REF!-#REF!-#REF!</f>
        <v>#REF!</v>
      </c>
      <c r="K88" s="19"/>
      <c r="L88" s="19"/>
      <c r="N88" t="s">
        <v>14</v>
      </c>
      <c r="O88" s="15">
        <f>H90+H91</f>
        <v>29.216956</v>
      </c>
      <c r="P88" s="15">
        <f>I90+I91</f>
        <v>36.783044000000004</v>
      </c>
      <c r="Q88" s="4">
        <f>$AF$116</f>
        <v>1.0862977017311064</v>
      </c>
      <c r="R88" s="7">
        <f t="shared" si="20"/>
        <v>39.957336159874167</v>
      </c>
    </row>
    <row r="89" spans="4:18" x14ac:dyDescent="0.2">
      <c r="D89">
        <v>314</v>
      </c>
      <c r="J89" s="3"/>
      <c r="K89" s="31"/>
      <c r="L89" s="31"/>
      <c r="N89">
        <v>321</v>
      </c>
      <c r="O89" s="15">
        <f>H92</f>
        <v>67.680431999999996</v>
      </c>
      <c r="P89" s="15">
        <f>I92</f>
        <v>367.319568</v>
      </c>
      <c r="Q89" s="4">
        <f>$AF$117</f>
        <v>0.86970227612053164</v>
      </c>
      <c r="R89" s="7">
        <f t="shared" si="20"/>
        <v>319.45866435321039</v>
      </c>
    </row>
    <row r="90" spans="4:18" x14ac:dyDescent="0.2">
      <c r="D90">
        <v>315</v>
      </c>
      <c r="E90">
        <v>23</v>
      </c>
      <c r="F90">
        <v>56</v>
      </c>
      <c r="G90">
        <v>7735</v>
      </c>
      <c r="H90" s="12">
        <f>G90*3.412*0.001</f>
        <v>26.391819999999999</v>
      </c>
      <c r="I90" s="12">
        <f>F90-H90</f>
        <v>29.608180000000001</v>
      </c>
      <c r="J90" s="14" t="e">
        <f>F90-H90-#REF!-#REF!-#REF!</f>
        <v>#REF!</v>
      </c>
      <c r="K90" s="19"/>
      <c r="L90" s="19"/>
      <c r="N90">
        <f>D93</f>
        <v>322</v>
      </c>
      <c r="O90" s="15">
        <f t="shared" ref="O90:O96" si="21">H93</f>
        <v>223.41434799999999</v>
      </c>
      <c r="P90" s="15">
        <f t="shared" ref="P90:P96" si="22">I93</f>
        <v>2410.5856520000002</v>
      </c>
      <c r="Q90" s="4">
        <f>$AF$118</f>
        <v>0.99832231546260719</v>
      </c>
      <c r="R90" s="7">
        <f t="shared" si="20"/>
        <v>2406.5414497255788</v>
      </c>
    </row>
    <row r="91" spans="4:18" x14ac:dyDescent="0.2">
      <c r="D91">
        <v>316</v>
      </c>
      <c r="E91">
        <v>31</v>
      </c>
      <c r="F91" s="14">
        <v>10</v>
      </c>
      <c r="G91">
        <v>828</v>
      </c>
      <c r="H91" s="12">
        <f t="shared" ref="H91:H106" si="23">G91*3.412*0.001</f>
        <v>2.8251360000000001</v>
      </c>
      <c r="I91" s="12">
        <f>F91-H91</f>
        <v>7.1748639999999995</v>
      </c>
      <c r="K91" s="31"/>
      <c r="L91" s="31"/>
      <c r="N91">
        <f t="shared" ref="N91:N103" si="24">D94</f>
        <v>323</v>
      </c>
      <c r="O91" s="15">
        <f t="shared" si="21"/>
        <v>59.399508000000004</v>
      </c>
      <c r="P91" s="15">
        <f t="shared" si="22"/>
        <v>52.600491999999996</v>
      </c>
      <c r="Q91" s="4">
        <f>$AF$119</f>
        <v>0.70557464070883003</v>
      </c>
      <c r="R91" s="7">
        <f t="shared" si="20"/>
        <v>37.113573244007682</v>
      </c>
    </row>
    <row r="92" spans="4:18" x14ac:dyDescent="0.2">
      <c r="D92">
        <f>D40</f>
        <v>321</v>
      </c>
      <c r="E92">
        <v>24</v>
      </c>
      <c r="F92" s="19">
        <v>435</v>
      </c>
      <c r="G92">
        <v>19836</v>
      </c>
      <c r="H92" s="12">
        <f t="shared" si="23"/>
        <v>67.680431999999996</v>
      </c>
      <c r="I92" s="12">
        <f t="shared" ref="I92:I106" si="25">F92-H92</f>
        <v>367.319568</v>
      </c>
      <c r="K92" s="31"/>
      <c r="L92" s="31"/>
      <c r="N92">
        <f t="shared" si="24"/>
        <v>324</v>
      </c>
      <c r="O92" s="15">
        <f t="shared" si="21"/>
        <v>120.92128</v>
      </c>
      <c r="P92" s="15">
        <f t="shared" si="22"/>
        <v>3142.07872</v>
      </c>
      <c r="Q92" s="4">
        <f>$AF$120</f>
        <v>1.0008325708705155</v>
      </c>
      <c r="R92" s="7">
        <f t="shared" si="20"/>
        <v>3144.6947232151383</v>
      </c>
    </row>
    <row r="93" spans="4:18" x14ac:dyDescent="0.2">
      <c r="D93">
        <f t="shared" ref="D93:D106" si="26">D41</f>
        <v>322</v>
      </c>
      <c r="E93">
        <v>26</v>
      </c>
      <c r="F93" s="12">
        <v>2634</v>
      </c>
      <c r="G93">
        <v>65479</v>
      </c>
      <c r="H93" s="12">
        <f t="shared" si="23"/>
        <v>223.41434799999999</v>
      </c>
      <c r="I93" s="12">
        <f t="shared" si="25"/>
        <v>2410.5856520000002</v>
      </c>
      <c r="K93" s="31"/>
      <c r="L93" s="31"/>
      <c r="N93">
        <f t="shared" si="24"/>
        <v>325</v>
      </c>
      <c r="O93" s="15">
        <f t="shared" si="21"/>
        <v>520.26858400000003</v>
      </c>
      <c r="P93" s="15">
        <f t="shared" si="22"/>
        <v>2752.7314160000001</v>
      </c>
      <c r="Q93" s="4">
        <f>$AF$121</f>
        <v>0.99144124267556832</v>
      </c>
      <c r="R93" s="7">
        <f t="shared" si="20"/>
        <v>2729.1714558311169</v>
      </c>
    </row>
    <row r="94" spans="4:18" x14ac:dyDescent="0.2">
      <c r="D94">
        <f t="shared" si="26"/>
        <v>323</v>
      </c>
      <c r="E94">
        <v>27</v>
      </c>
      <c r="F94" s="12">
        <v>112</v>
      </c>
      <c r="G94">
        <v>17409</v>
      </c>
      <c r="H94" s="12">
        <f t="shared" si="23"/>
        <v>59.399508000000004</v>
      </c>
      <c r="I94" s="12">
        <f t="shared" si="25"/>
        <v>52.600491999999996</v>
      </c>
      <c r="K94" s="31"/>
      <c r="L94" s="31"/>
      <c r="N94">
        <f t="shared" si="24"/>
        <v>326</v>
      </c>
      <c r="O94" s="15">
        <f t="shared" si="21"/>
        <v>149.27158799999998</v>
      </c>
      <c r="P94" s="15">
        <f t="shared" si="22"/>
        <v>136.72841200000002</v>
      </c>
      <c r="Q94" s="4">
        <f>$AF$122</f>
        <v>1.0355216047246407</v>
      </c>
      <c r="R94" s="7">
        <f t="shared" si="20"/>
        <v>141.58522460569185</v>
      </c>
    </row>
    <row r="95" spans="4:18" x14ac:dyDescent="0.2">
      <c r="D95">
        <f t="shared" si="26"/>
        <v>324</v>
      </c>
      <c r="E95">
        <v>29</v>
      </c>
      <c r="F95" s="12">
        <v>3263</v>
      </c>
      <c r="G95">
        <v>35440</v>
      </c>
      <c r="H95" s="12">
        <f t="shared" si="23"/>
        <v>120.92128</v>
      </c>
      <c r="I95" s="12">
        <f t="shared" si="25"/>
        <v>3142.07872</v>
      </c>
      <c r="K95" s="31"/>
      <c r="L95" s="31"/>
      <c r="N95">
        <f t="shared" si="24"/>
        <v>327</v>
      </c>
      <c r="O95" s="15">
        <f t="shared" si="21"/>
        <v>122.893416</v>
      </c>
      <c r="P95" s="15">
        <f t="shared" si="22"/>
        <v>822.106584</v>
      </c>
      <c r="Q95" s="4">
        <f>$AF$123</f>
        <v>0.99993870938021057</v>
      </c>
      <c r="R95" s="7">
        <f t="shared" si="20"/>
        <v>822.05619657793363</v>
      </c>
    </row>
    <row r="96" spans="4:18" x14ac:dyDescent="0.2">
      <c r="D96">
        <f t="shared" si="26"/>
        <v>325</v>
      </c>
      <c r="E96">
        <v>28</v>
      </c>
      <c r="F96" s="12">
        <v>3273</v>
      </c>
      <c r="G96">
        <v>152482</v>
      </c>
      <c r="H96" s="12">
        <f t="shared" si="23"/>
        <v>520.26858400000003</v>
      </c>
      <c r="I96" s="12">
        <f t="shared" si="25"/>
        <v>2752.7314160000001</v>
      </c>
      <c r="K96" s="31"/>
      <c r="L96" s="31"/>
      <c r="N96">
        <f t="shared" si="24"/>
        <v>331</v>
      </c>
      <c r="O96" s="15">
        <f t="shared" si="21"/>
        <v>492.91799199999997</v>
      </c>
      <c r="P96" s="15">
        <f t="shared" si="22"/>
        <v>2075.0820079999999</v>
      </c>
      <c r="Q96" s="4">
        <f>$AF$124</f>
        <v>1.010397468376462</v>
      </c>
      <c r="R96" s="7">
        <f t="shared" si="20"/>
        <v>2096.657607556745</v>
      </c>
    </row>
    <row r="97" spans="3:28" x14ac:dyDescent="0.2">
      <c r="D97">
        <f t="shared" si="26"/>
        <v>326</v>
      </c>
      <c r="E97">
        <v>30</v>
      </c>
      <c r="F97" s="12">
        <v>286</v>
      </c>
      <c r="G97">
        <v>43749</v>
      </c>
      <c r="H97" s="12">
        <f t="shared" si="23"/>
        <v>149.27158799999998</v>
      </c>
      <c r="I97" s="12">
        <f t="shared" si="25"/>
        <v>136.72841200000002</v>
      </c>
      <c r="K97" s="31"/>
      <c r="L97" s="31"/>
      <c r="N97">
        <f t="shared" si="24"/>
        <v>332</v>
      </c>
      <c r="O97" s="15">
        <f>H100</f>
        <v>115.390428</v>
      </c>
      <c r="P97" s="15">
        <f>I100+$AP$142*I101-$AP$149*I100</f>
        <v>262.26002779199996</v>
      </c>
      <c r="Q97" s="4">
        <f>$AF$125</f>
        <v>1.0050318572657224</v>
      </c>
      <c r="R97" s="7">
        <f t="shared" si="20"/>
        <v>263.57968281835372</v>
      </c>
    </row>
    <row r="98" spans="3:28" x14ac:dyDescent="0.2">
      <c r="D98">
        <f t="shared" si="26"/>
        <v>327</v>
      </c>
      <c r="E98">
        <v>32</v>
      </c>
      <c r="F98" s="12">
        <v>945</v>
      </c>
      <c r="G98">
        <v>36018</v>
      </c>
      <c r="H98" s="12">
        <f t="shared" si="23"/>
        <v>122.893416</v>
      </c>
      <c r="I98" s="12">
        <f t="shared" si="25"/>
        <v>822.106584</v>
      </c>
      <c r="K98" s="31"/>
      <c r="L98" s="31"/>
      <c r="N98">
        <f t="shared" si="24"/>
        <v>333</v>
      </c>
      <c r="O98" s="15">
        <f>0.9*H101</f>
        <v>98.379219599999999</v>
      </c>
      <c r="P98" s="15">
        <f>I101-$AP$142*I101-$AP$140*I101-$AP$141*I101+$AP$146*I102</f>
        <v>113.997001184</v>
      </c>
      <c r="Q98" s="4">
        <f>$AF$126</f>
        <v>0.99057294439314503</v>
      </c>
      <c r="R98" s="7">
        <f t="shared" si="20"/>
        <v>112.92234511482371</v>
      </c>
    </row>
    <row r="99" spans="3:28" x14ac:dyDescent="0.2">
      <c r="D99">
        <f t="shared" si="26"/>
        <v>331</v>
      </c>
      <c r="E99">
        <v>33</v>
      </c>
      <c r="F99" s="12">
        <v>2568</v>
      </c>
      <c r="G99">
        <v>144466</v>
      </c>
      <c r="H99" s="12">
        <f t="shared" si="23"/>
        <v>492.91799199999997</v>
      </c>
      <c r="I99" s="12">
        <f t="shared" si="25"/>
        <v>2075.0820079999999</v>
      </c>
      <c r="K99" s="31"/>
      <c r="L99" s="31"/>
      <c r="N99">
        <f t="shared" si="24"/>
        <v>334</v>
      </c>
      <c r="O99" s="7">
        <f>0.1*H101+0.35*H103+0.5*H102</f>
        <v>73.530305999999996</v>
      </c>
      <c r="P99" s="7">
        <f>$AP$140*I101+$AP$153*I102+$AP$151*I103</f>
        <v>65.395795944</v>
      </c>
      <c r="Q99" s="4">
        <f>$AF$127</f>
        <v>1.0234677016554385</v>
      </c>
      <c r="R99" s="7">
        <f t="shared" si="20"/>
        <v>66.930484972733723</v>
      </c>
    </row>
    <row r="100" spans="3:28" x14ac:dyDescent="0.2">
      <c r="D100">
        <f t="shared" si="26"/>
        <v>332</v>
      </c>
      <c r="E100">
        <v>34</v>
      </c>
      <c r="F100" s="12">
        <v>365</v>
      </c>
      <c r="G100">
        <v>33819</v>
      </c>
      <c r="H100" s="12">
        <f t="shared" si="23"/>
        <v>115.390428</v>
      </c>
      <c r="I100" s="12">
        <f t="shared" si="25"/>
        <v>249.60957200000001</v>
      </c>
      <c r="K100" s="31"/>
      <c r="L100" s="31"/>
      <c r="N100">
        <f t="shared" si="24"/>
        <v>335</v>
      </c>
      <c r="O100" s="7">
        <f>0.65*H103</f>
        <v>73.51563440000001</v>
      </c>
      <c r="P100" s="7">
        <f>(1-$AP$150-$AP$151)*I103</f>
        <v>75.98436559999999</v>
      </c>
      <c r="Q100" s="4">
        <f>$AF$128</f>
        <v>0.8929284199379155</v>
      </c>
      <c r="R100" s="7">
        <f t="shared" si="20"/>
        <v>67.848599515192888</v>
      </c>
    </row>
    <row r="101" spans="3:28" x14ac:dyDescent="0.2">
      <c r="D101">
        <f t="shared" si="26"/>
        <v>333</v>
      </c>
      <c r="E101">
        <v>35</v>
      </c>
      <c r="F101" s="12">
        <v>245</v>
      </c>
      <c r="G101">
        <v>32037</v>
      </c>
      <c r="H101" s="12">
        <f t="shared" si="23"/>
        <v>109.310244</v>
      </c>
      <c r="I101" s="12">
        <f t="shared" si="25"/>
        <v>135.68975599999999</v>
      </c>
      <c r="K101" s="31"/>
      <c r="L101" s="31"/>
      <c r="N101">
        <f t="shared" si="24"/>
        <v>336</v>
      </c>
      <c r="O101" s="7">
        <f>H104</f>
        <v>132.293476</v>
      </c>
      <c r="P101" s="7">
        <f>I104+$AP$149*I100+R$141*I101+$AP$150*I103</f>
        <v>247.855155</v>
      </c>
      <c r="Q101" s="4">
        <f>$AF$129</f>
        <v>1.0499456144576871</v>
      </c>
      <c r="R101" s="7">
        <f t="shared" si="20"/>
        <v>260.23443301298028</v>
      </c>
    </row>
    <row r="102" spans="3:28" x14ac:dyDescent="0.2">
      <c r="D102">
        <f t="shared" si="26"/>
        <v>334</v>
      </c>
      <c r="E102" s="3">
        <v>38</v>
      </c>
      <c r="F102" s="12">
        <v>106</v>
      </c>
      <c r="G102">
        <v>13490</v>
      </c>
      <c r="H102" s="12">
        <f t="shared" si="23"/>
        <v>46.027879999999996</v>
      </c>
      <c r="I102" s="12">
        <f t="shared" si="25"/>
        <v>59.972120000000004</v>
      </c>
      <c r="K102" s="31"/>
      <c r="L102" s="31"/>
      <c r="N102">
        <f t="shared" si="24"/>
        <v>337</v>
      </c>
      <c r="O102" s="7">
        <f>H105</f>
        <v>22.48508</v>
      </c>
      <c r="P102" s="7">
        <f>I105</f>
        <v>42.514920000000004</v>
      </c>
      <c r="Q102" s="4">
        <f>$AF$130</f>
        <v>1.1125687426632083</v>
      </c>
      <c r="R102" s="7">
        <f t="shared" si="20"/>
        <v>47.300771088826892</v>
      </c>
    </row>
    <row r="103" spans="3:28" ht="13.5" thickBot="1" x14ac:dyDescent="0.25">
      <c r="D103">
        <f t="shared" si="26"/>
        <v>335</v>
      </c>
      <c r="E103">
        <v>36</v>
      </c>
      <c r="F103">
        <v>230</v>
      </c>
      <c r="G103">
        <v>33148</v>
      </c>
      <c r="H103" s="12">
        <f t="shared" si="23"/>
        <v>113.100976</v>
      </c>
      <c r="I103" s="12">
        <f t="shared" si="25"/>
        <v>116.899024</v>
      </c>
      <c r="K103" s="31"/>
      <c r="L103" s="31"/>
      <c r="N103" s="1">
        <f t="shared" si="24"/>
        <v>339</v>
      </c>
      <c r="O103" s="27">
        <f>H106+0.5*H102</f>
        <v>42.035839999999993</v>
      </c>
      <c r="P103" s="27">
        <f>I106+$AP$147*I102</f>
        <v>51.648955360000002</v>
      </c>
      <c r="Q103" s="26">
        <f>$AF$131</f>
        <v>0.93664838905802084</v>
      </c>
      <c r="R103" s="27">
        <f t="shared" si="20"/>
        <v>48.376910834473634</v>
      </c>
    </row>
    <row r="104" spans="3:28" x14ac:dyDescent="0.2">
      <c r="D104">
        <f t="shared" si="26"/>
        <v>336</v>
      </c>
      <c r="E104">
        <v>37</v>
      </c>
      <c r="F104" s="12">
        <v>358</v>
      </c>
      <c r="G104">
        <v>38773</v>
      </c>
      <c r="H104" s="12">
        <f t="shared" si="23"/>
        <v>132.293476</v>
      </c>
      <c r="I104" s="12">
        <f t="shared" si="25"/>
        <v>225.706524</v>
      </c>
      <c r="K104" s="31"/>
      <c r="L104" s="31"/>
      <c r="O104" s="15">
        <f>SUM(O86:O103)</f>
        <v>2655.6756080000005</v>
      </c>
      <c r="P104" s="15">
        <f>SUM(P86:P103)</f>
        <v>13856.610596879997</v>
      </c>
      <c r="Q104" s="15"/>
      <c r="R104" s="15">
        <f>SUM(R86:R103)</f>
        <v>13805.955934019132</v>
      </c>
    </row>
    <row r="105" spans="3:28" x14ac:dyDescent="0.2">
      <c r="D105">
        <f t="shared" si="26"/>
        <v>337</v>
      </c>
      <c r="E105">
        <v>25</v>
      </c>
      <c r="F105" s="12">
        <v>65</v>
      </c>
      <c r="G105">
        <v>6590</v>
      </c>
      <c r="H105" s="12">
        <f t="shared" si="23"/>
        <v>22.48508</v>
      </c>
      <c r="I105" s="12">
        <f t="shared" si="25"/>
        <v>42.514920000000004</v>
      </c>
      <c r="K105" s="31"/>
      <c r="L105" s="31"/>
    </row>
    <row r="106" spans="3:28" x14ac:dyDescent="0.2">
      <c r="D106">
        <f t="shared" si="26"/>
        <v>339</v>
      </c>
      <c r="E106">
        <v>39</v>
      </c>
      <c r="F106" s="12">
        <v>51</v>
      </c>
      <c r="G106">
        <v>5575</v>
      </c>
      <c r="H106" s="12">
        <f t="shared" si="23"/>
        <v>19.021899999999999</v>
      </c>
      <c r="I106" s="12">
        <f t="shared" si="25"/>
        <v>31.978100000000001</v>
      </c>
      <c r="K106" s="31"/>
      <c r="L106" s="31"/>
    </row>
    <row r="107" spans="3:28" x14ac:dyDescent="0.2">
      <c r="F107" s="15">
        <f>SUM(F86:F106)</f>
        <v>16515</v>
      </c>
      <c r="G107" s="15">
        <f>SUM(G86:G106)</f>
        <v>778334</v>
      </c>
      <c r="H107" s="15">
        <f>SUM(H86:H106)</f>
        <v>2655.6756080000005</v>
      </c>
      <c r="I107" s="15">
        <f>SUM(I86:I106)</f>
        <v>13859.324391999999</v>
      </c>
      <c r="K107" s="31"/>
      <c r="L107" s="31"/>
    </row>
    <row r="108" spans="3:28" x14ac:dyDescent="0.2">
      <c r="C108" t="s">
        <v>42</v>
      </c>
      <c r="F108">
        <v>16485</v>
      </c>
      <c r="G108">
        <v>778334</v>
      </c>
      <c r="H108">
        <v>2655.6756080000005</v>
      </c>
      <c r="I108">
        <v>13835</v>
      </c>
      <c r="K108" s="31"/>
      <c r="L108" s="31"/>
    </row>
    <row r="109" spans="3:28" x14ac:dyDescent="0.2">
      <c r="C109" t="s">
        <v>43</v>
      </c>
      <c r="F109" s="12">
        <v>16515</v>
      </c>
      <c r="G109">
        <v>778335</v>
      </c>
      <c r="K109" s="31"/>
      <c r="L109" s="31"/>
    </row>
    <row r="110" spans="3:28" x14ac:dyDescent="0.2">
      <c r="K110" s="31"/>
      <c r="L110" s="31"/>
    </row>
    <row r="111" spans="3:28" x14ac:dyDescent="0.2">
      <c r="K111" s="31"/>
      <c r="L111" s="31"/>
      <c r="AB111" t="s">
        <v>58</v>
      </c>
    </row>
    <row r="112" spans="3:28" x14ac:dyDescent="0.2">
      <c r="D112">
        <v>1998</v>
      </c>
      <c r="E112" t="s">
        <v>38</v>
      </c>
      <c r="F112" t="s">
        <v>45</v>
      </c>
      <c r="K112" s="31"/>
      <c r="L112" s="31"/>
      <c r="N112" t="s">
        <v>94</v>
      </c>
      <c r="S112">
        <v>1998</v>
      </c>
      <c r="T112" t="s">
        <v>38</v>
      </c>
      <c r="U112" t="s">
        <v>44</v>
      </c>
      <c r="Z112" t="s">
        <v>61</v>
      </c>
      <c r="AB112" t="s">
        <v>39</v>
      </c>
    </row>
    <row r="113" spans="4:58" ht="45.75" thickBot="1" x14ac:dyDescent="0.25">
      <c r="F113" s="10" t="s">
        <v>33</v>
      </c>
      <c r="G113" s="11" t="s">
        <v>34</v>
      </c>
      <c r="H113" s="11" t="s">
        <v>35</v>
      </c>
      <c r="I113" s="11" t="s">
        <v>36</v>
      </c>
      <c r="J113" s="13" t="s">
        <v>37</v>
      </c>
      <c r="K113" s="32"/>
      <c r="L113" s="32"/>
      <c r="O113" s="17" t="s">
        <v>35</v>
      </c>
      <c r="P113" s="17" t="s">
        <v>36</v>
      </c>
      <c r="U113" s="10" t="s">
        <v>33</v>
      </c>
      <c r="V113" s="11" t="s">
        <v>34</v>
      </c>
      <c r="W113" s="11" t="s">
        <v>35</v>
      </c>
      <c r="X113" s="11" t="s">
        <v>36</v>
      </c>
      <c r="Z113" s="11" t="str">
        <f>I113</f>
        <v>Total Fuel</v>
      </c>
      <c r="AA113" s="11" t="s">
        <v>275</v>
      </c>
      <c r="AC113" s="17" t="s">
        <v>59</v>
      </c>
      <c r="AD113" s="17" t="s">
        <v>60</v>
      </c>
      <c r="AE113" s="24" t="s">
        <v>81</v>
      </c>
      <c r="AF113" s="1" t="s">
        <v>63</v>
      </c>
      <c r="AG113" t="s">
        <v>62</v>
      </c>
    </row>
    <row r="114" spans="4:58" x14ac:dyDescent="0.2">
      <c r="D114" s="2">
        <v>311</v>
      </c>
      <c r="E114">
        <v>20</v>
      </c>
      <c r="F114" s="12">
        <v>1118</v>
      </c>
      <c r="G114" s="12">
        <v>67474</v>
      </c>
      <c r="H114" s="12">
        <f>G114*3.412*0.001</f>
        <v>230.22128800000002</v>
      </c>
      <c r="I114" s="12">
        <f>F114-H114</f>
        <v>887.77871200000004</v>
      </c>
      <c r="J114" s="14" t="e">
        <f>F114-G114-#REF!-#REF!-#REF!</f>
        <v>#REF!</v>
      </c>
      <c r="K114" s="19"/>
      <c r="L114" s="19"/>
      <c r="N114" t="s">
        <v>12</v>
      </c>
      <c r="O114" s="15">
        <f>W114+W115</f>
        <v>237.403548</v>
      </c>
      <c r="P114" s="15">
        <f>X114+X115</f>
        <v>914.596452</v>
      </c>
      <c r="S114" s="2">
        <v>311</v>
      </c>
      <c r="T114">
        <v>20</v>
      </c>
      <c r="U114" s="12">
        <v>1044</v>
      </c>
      <c r="V114" s="12">
        <v>62457</v>
      </c>
      <c r="W114" s="12">
        <f>V114*3.412*0.001</f>
        <v>213.103284</v>
      </c>
      <c r="X114" s="82">
        <f t="shared" ref="X114:X119" si="27">U114-W114</f>
        <v>830.89671599999997</v>
      </c>
      <c r="Z114" s="84">
        <f t="shared" ref="Z114:Z134" si="28">I114</f>
        <v>887.77871200000004</v>
      </c>
      <c r="AB114" t="s">
        <v>12</v>
      </c>
      <c r="AC114" s="15">
        <f>X114+X115</f>
        <v>914.596452</v>
      </c>
      <c r="AD114" s="15">
        <f>Z114+Z115</f>
        <v>908.82448800000009</v>
      </c>
      <c r="AE114" s="15">
        <f>Z114+Z115</f>
        <v>908.82448800000009</v>
      </c>
      <c r="AF114" s="30">
        <f>AC114/AD114</f>
        <v>1.0063510216507281</v>
      </c>
      <c r="AG114" s="18">
        <f>AF114*AE114</f>
        <v>914.596452</v>
      </c>
    </row>
    <row r="115" spans="4:58" x14ac:dyDescent="0.2">
      <c r="D115" s="2">
        <v>312</v>
      </c>
      <c r="E115">
        <v>21</v>
      </c>
      <c r="F115" s="19">
        <v>26</v>
      </c>
      <c r="G115" s="12">
        <v>1452</v>
      </c>
      <c r="H115" s="12">
        <f>G115*3.412*0.001</f>
        <v>4.954224</v>
      </c>
      <c r="I115" s="12">
        <f>F115-H115</f>
        <v>21.045776</v>
      </c>
      <c r="J115" s="14" t="e">
        <f>F115-G115-#REF!-#REF!-#REF!</f>
        <v>#REF!</v>
      </c>
      <c r="K115" s="19"/>
      <c r="L115" s="19"/>
      <c r="N115" t="s">
        <v>13</v>
      </c>
      <c r="O115" s="15">
        <f>W116+W117</f>
        <v>119.116332</v>
      </c>
      <c r="P115" s="15">
        <f>X116+X117</f>
        <v>183.883668</v>
      </c>
      <c r="S115" s="2">
        <v>312</v>
      </c>
      <c r="T115">
        <v>21</v>
      </c>
      <c r="U115" s="19">
        <v>108</v>
      </c>
      <c r="V115" s="12">
        <v>7122</v>
      </c>
      <c r="W115" s="12">
        <f>V115*3.412*0.001</f>
        <v>24.300263999999999</v>
      </c>
      <c r="X115" s="82">
        <f t="shared" si="27"/>
        <v>83.699736000000001</v>
      </c>
      <c r="Z115" s="84">
        <f t="shared" si="28"/>
        <v>21.045776</v>
      </c>
      <c r="AB115" t="s">
        <v>13</v>
      </c>
      <c r="AC115" s="15">
        <f>X116+X117</f>
        <v>183.883668</v>
      </c>
      <c r="AD115" s="15">
        <f>Z116+Z117</f>
        <v>189.38949600000001</v>
      </c>
      <c r="AE115" s="15">
        <f>Z116+Z117</f>
        <v>189.38949600000001</v>
      </c>
      <c r="AF115" s="30">
        <f t="shared" ref="AF115:AF131" si="29">AC115/AD115</f>
        <v>0.97092854611113166</v>
      </c>
      <c r="AG115" s="18">
        <f t="shared" ref="AG115:AG131" si="30">AF115*AE115</f>
        <v>183.883668</v>
      </c>
    </row>
    <row r="116" spans="4:58" x14ac:dyDescent="0.2">
      <c r="D116" s="2">
        <v>313</v>
      </c>
      <c r="E116">
        <v>22</v>
      </c>
      <c r="F116" s="12">
        <v>311</v>
      </c>
      <c r="G116" s="12">
        <v>35642</v>
      </c>
      <c r="H116" s="12">
        <f>G116*3.412*0.001</f>
        <v>121.61050400000001</v>
      </c>
      <c r="I116" s="12">
        <f>F116-H116</f>
        <v>189.38949600000001</v>
      </c>
      <c r="J116" s="14" t="e">
        <f>F116-H116-#REF!-#REF!-#REF!</f>
        <v>#REF!</v>
      </c>
      <c r="K116" s="19"/>
      <c r="L116" s="19"/>
      <c r="N116" t="s">
        <v>14</v>
      </c>
      <c r="O116" s="15">
        <f>W118+W119</f>
        <v>20.512944000000001</v>
      </c>
      <c r="P116" s="15">
        <f>X118+X119</f>
        <v>35.487055999999995</v>
      </c>
      <c r="S116" s="2">
        <v>313</v>
      </c>
      <c r="T116">
        <v>22</v>
      </c>
      <c r="U116" s="12">
        <v>254</v>
      </c>
      <c r="V116" s="12">
        <v>29759</v>
      </c>
      <c r="W116" s="12">
        <f>V116*3.412*0.001</f>
        <v>101.53770799999999</v>
      </c>
      <c r="X116" s="82">
        <f t="shared" si="27"/>
        <v>152.46229199999999</v>
      </c>
      <c r="Z116" s="84">
        <f t="shared" si="28"/>
        <v>189.38949600000001</v>
      </c>
      <c r="AB116" t="s">
        <v>14</v>
      </c>
      <c r="AC116" s="15">
        <f>X118+X119</f>
        <v>35.487055999999995</v>
      </c>
      <c r="AD116" s="15">
        <f>Z118+Z119</f>
        <v>32.667892000000002</v>
      </c>
      <c r="AE116" s="15">
        <f>Z118+Z119</f>
        <v>32.667892000000002</v>
      </c>
      <c r="AF116" s="30">
        <f t="shared" si="29"/>
        <v>1.0862977017311064</v>
      </c>
      <c r="AG116" s="18">
        <f t="shared" si="30"/>
        <v>35.487056000000003</v>
      </c>
    </row>
    <row r="117" spans="4:58" x14ac:dyDescent="0.2">
      <c r="D117">
        <v>314</v>
      </c>
      <c r="J117" s="3"/>
      <c r="K117" s="31"/>
      <c r="L117" s="31"/>
      <c r="N117">
        <v>321</v>
      </c>
      <c r="O117" s="15">
        <f>W120</f>
        <v>72.232039999999998</v>
      </c>
      <c r="P117" s="15">
        <f>X120</f>
        <v>431.76796000000002</v>
      </c>
      <c r="S117">
        <v>314</v>
      </c>
      <c r="U117" s="12">
        <v>49</v>
      </c>
      <c r="V117" s="12">
        <v>5152</v>
      </c>
      <c r="W117" s="12">
        <f>V117*3.412*0.001</f>
        <v>17.578624000000001</v>
      </c>
      <c r="X117" s="82">
        <f t="shared" si="27"/>
        <v>31.421375999999999</v>
      </c>
      <c r="Z117" s="84">
        <f t="shared" si="28"/>
        <v>0</v>
      </c>
      <c r="AB117">
        <v>321</v>
      </c>
      <c r="AC117" s="15">
        <f t="shared" ref="AC117:AC131" si="31">X120</f>
        <v>431.76796000000002</v>
      </c>
      <c r="AD117" s="15">
        <f t="shared" ref="AD117:AD124" si="32">Z120</f>
        <v>496.454904</v>
      </c>
      <c r="AE117" s="15">
        <f t="shared" ref="AE117:AE124" si="33">Z120</f>
        <v>496.454904</v>
      </c>
      <c r="AF117" s="30">
        <f t="shared" si="29"/>
        <v>0.86970227612053164</v>
      </c>
      <c r="AG117" s="18">
        <f t="shared" si="30"/>
        <v>431.76796000000002</v>
      </c>
    </row>
    <row r="118" spans="4:58" x14ac:dyDescent="0.2">
      <c r="D118">
        <v>315</v>
      </c>
      <c r="E118">
        <v>23</v>
      </c>
      <c r="F118">
        <v>44</v>
      </c>
      <c r="G118">
        <v>5163</v>
      </c>
      <c r="H118" s="12">
        <f>G118*3.412*0.001</f>
        <v>17.616156</v>
      </c>
      <c r="I118" s="12">
        <f>F118-H118</f>
        <v>26.383844</v>
      </c>
      <c r="J118" s="14" t="e">
        <f>F118-H118-#REF!-#REF!-#REF!</f>
        <v>#REF!</v>
      </c>
      <c r="K118" s="19"/>
      <c r="L118" s="19"/>
      <c r="N118">
        <f>D121</f>
        <v>322</v>
      </c>
      <c r="O118" s="15">
        <f t="shared" ref="O118:O131" si="34">W121</f>
        <v>240.08196799999999</v>
      </c>
      <c r="P118" s="15">
        <f t="shared" ref="P118:P124" si="35">X121</f>
        <v>2503.918032</v>
      </c>
      <c r="S118">
        <v>315</v>
      </c>
      <c r="T118">
        <v>23</v>
      </c>
      <c r="U118">
        <v>48</v>
      </c>
      <c r="V118">
        <v>5251</v>
      </c>
      <c r="W118" s="12">
        <f>V118*3.412*0.001</f>
        <v>17.916412000000001</v>
      </c>
      <c r="X118" s="82">
        <f t="shared" si="27"/>
        <v>30.083587999999999</v>
      </c>
      <c r="Z118" s="84">
        <f t="shared" si="28"/>
        <v>26.383844</v>
      </c>
      <c r="AA118">
        <f>X118/Z118</f>
        <v>1.1402276332440413</v>
      </c>
      <c r="AB118">
        <f t="shared" ref="AB118:AB131" si="36">S121</f>
        <v>322</v>
      </c>
      <c r="AC118" s="15">
        <f t="shared" si="31"/>
        <v>2503.918032</v>
      </c>
      <c r="AD118" s="15">
        <f t="shared" si="32"/>
        <v>2508.1258760000001</v>
      </c>
      <c r="AE118" s="15">
        <f t="shared" si="33"/>
        <v>2508.1258760000001</v>
      </c>
      <c r="AF118" s="30">
        <f t="shared" si="29"/>
        <v>0.99832231546260719</v>
      </c>
      <c r="AG118" s="18">
        <f t="shared" si="30"/>
        <v>2503.918032</v>
      </c>
    </row>
    <row r="119" spans="4:58" x14ac:dyDescent="0.2">
      <c r="D119">
        <v>316</v>
      </c>
      <c r="E119">
        <v>31</v>
      </c>
      <c r="F119" s="19">
        <v>9</v>
      </c>
      <c r="G119">
        <v>796</v>
      </c>
      <c r="H119" s="12">
        <f t="shared" ref="H119:H134" si="37">G119*3.412*0.001</f>
        <v>2.7159519999999997</v>
      </c>
      <c r="I119" s="12">
        <f>F119-H119</f>
        <v>6.2840480000000003</v>
      </c>
      <c r="K119" s="31"/>
      <c r="L119" s="31"/>
      <c r="N119">
        <f t="shared" ref="N119:N131" si="38">D122</f>
        <v>323</v>
      </c>
      <c r="O119" s="15">
        <f t="shared" si="34"/>
        <v>50.995752000000003</v>
      </c>
      <c r="P119" s="15">
        <f t="shared" si="35"/>
        <v>47.004247999999997</v>
      </c>
      <c r="S119">
        <v>316</v>
      </c>
      <c r="T119">
        <v>31</v>
      </c>
      <c r="U119" s="19">
        <v>8</v>
      </c>
      <c r="V119">
        <v>761</v>
      </c>
      <c r="W119" s="12">
        <f t="shared" ref="W119:W134" si="39">V119*3.412*0.001</f>
        <v>2.5965320000000003</v>
      </c>
      <c r="X119" s="82">
        <f t="shared" si="27"/>
        <v>5.4034680000000002</v>
      </c>
      <c r="Z119" s="84">
        <f t="shared" si="28"/>
        <v>6.2840480000000003</v>
      </c>
      <c r="AA119">
        <f>X119/Z119</f>
        <v>0.859870580237452</v>
      </c>
      <c r="AB119">
        <f t="shared" si="36"/>
        <v>323</v>
      </c>
      <c r="AC119" s="15">
        <f t="shared" si="31"/>
        <v>47.004247999999997</v>
      </c>
      <c r="AD119" s="15">
        <f t="shared" si="32"/>
        <v>66.618392</v>
      </c>
      <c r="AE119" s="15">
        <f t="shared" si="33"/>
        <v>66.618392</v>
      </c>
      <c r="AF119" s="30">
        <f t="shared" si="29"/>
        <v>0.70557464070883003</v>
      </c>
      <c r="AG119" s="18">
        <f t="shared" si="30"/>
        <v>47.004247999999997</v>
      </c>
    </row>
    <row r="120" spans="4:58" x14ac:dyDescent="0.2">
      <c r="D120">
        <f>D14</f>
        <v>321</v>
      </c>
      <c r="E120">
        <v>24</v>
      </c>
      <c r="F120" s="19">
        <v>584</v>
      </c>
      <c r="G120">
        <v>25658</v>
      </c>
      <c r="H120" s="12">
        <f t="shared" si="37"/>
        <v>87.545096000000001</v>
      </c>
      <c r="I120" s="12">
        <f t="shared" ref="I120:I134" si="40">F120-H120</f>
        <v>496.454904</v>
      </c>
      <c r="K120" s="31"/>
      <c r="L120" s="31"/>
      <c r="N120">
        <f t="shared" si="38"/>
        <v>324</v>
      </c>
      <c r="O120" s="15">
        <f t="shared" si="34"/>
        <v>126.445308</v>
      </c>
      <c r="P120" s="15">
        <f t="shared" si="35"/>
        <v>3495.5546920000002</v>
      </c>
      <c r="S120">
        <f>D14</f>
        <v>321</v>
      </c>
      <c r="T120">
        <v>24</v>
      </c>
      <c r="U120" s="19">
        <v>504</v>
      </c>
      <c r="V120">
        <v>21170</v>
      </c>
      <c r="W120" s="12">
        <f t="shared" si="39"/>
        <v>72.232039999999998</v>
      </c>
      <c r="X120" s="82">
        <f t="shared" ref="X120:X134" si="41">U120-W120</f>
        <v>431.76796000000002</v>
      </c>
      <c r="Z120" s="84">
        <f t="shared" si="28"/>
        <v>496.454904</v>
      </c>
      <c r="AB120">
        <f t="shared" si="36"/>
        <v>324</v>
      </c>
      <c r="AC120" s="15">
        <f t="shared" si="31"/>
        <v>3495.5546920000002</v>
      </c>
      <c r="AD120" s="15">
        <f t="shared" si="32"/>
        <v>3492.6468159999999</v>
      </c>
      <c r="AE120" s="15">
        <f t="shared" si="33"/>
        <v>3492.6468159999999</v>
      </c>
      <c r="AF120" s="30">
        <f t="shared" si="29"/>
        <v>1.0008325708705155</v>
      </c>
      <c r="AG120" s="18">
        <f t="shared" si="30"/>
        <v>3495.5546920000002</v>
      </c>
    </row>
    <row r="121" spans="4:58" x14ac:dyDescent="0.2">
      <c r="D121">
        <f t="shared" ref="D121:D134" si="42">D15</f>
        <v>322</v>
      </c>
      <c r="E121">
        <v>26</v>
      </c>
      <c r="F121" s="12">
        <v>2759</v>
      </c>
      <c r="G121">
        <v>73527</v>
      </c>
      <c r="H121" s="12">
        <f t="shared" si="37"/>
        <v>250.87412399999999</v>
      </c>
      <c r="I121" s="12">
        <f t="shared" si="40"/>
        <v>2508.1258760000001</v>
      </c>
      <c r="K121" s="31"/>
      <c r="L121" s="31"/>
      <c r="N121">
        <f t="shared" si="38"/>
        <v>325</v>
      </c>
      <c r="O121" s="15">
        <f t="shared" si="34"/>
        <v>577.42299600000001</v>
      </c>
      <c r="P121" s="15">
        <f t="shared" si="35"/>
        <v>3126.5770039999998</v>
      </c>
      <c r="S121">
        <f t="shared" ref="S121:S134" si="43">D15</f>
        <v>322</v>
      </c>
      <c r="T121">
        <v>26</v>
      </c>
      <c r="U121" s="12">
        <v>2744</v>
      </c>
      <c r="V121">
        <v>70364</v>
      </c>
      <c r="W121" s="12">
        <f t="shared" si="39"/>
        <v>240.08196799999999</v>
      </c>
      <c r="X121" s="82">
        <f t="shared" si="41"/>
        <v>2503.918032</v>
      </c>
      <c r="Z121" s="84">
        <f t="shared" si="28"/>
        <v>2508.1258760000001</v>
      </c>
      <c r="AB121">
        <f t="shared" si="36"/>
        <v>325</v>
      </c>
      <c r="AC121" s="15">
        <f t="shared" si="31"/>
        <v>3126.5770039999998</v>
      </c>
      <c r="AD121" s="15">
        <f t="shared" si="32"/>
        <v>3153.5676240000003</v>
      </c>
      <c r="AE121" s="15">
        <f t="shared" si="33"/>
        <v>3153.5676240000003</v>
      </c>
      <c r="AF121" s="30">
        <f t="shared" si="29"/>
        <v>0.99144124267556832</v>
      </c>
      <c r="AG121" s="18">
        <f t="shared" si="30"/>
        <v>3126.5770039999998</v>
      </c>
    </row>
    <row r="122" spans="4:58" x14ac:dyDescent="0.2">
      <c r="D122">
        <f t="shared" si="42"/>
        <v>323</v>
      </c>
      <c r="E122">
        <v>27</v>
      </c>
      <c r="F122" s="12">
        <v>165</v>
      </c>
      <c r="G122">
        <v>28834</v>
      </c>
      <c r="H122" s="12">
        <f t="shared" si="37"/>
        <v>98.381608</v>
      </c>
      <c r="I122" s="12">
        <f t="shared" si="40"/>
        <v>66.618392</v>
      </c>
      <c r="K122" s="31"/>
      <c r="L122" s="31"/>
      <c r="N122">
        <f t="shared" si="38"/>
        <v>326</v>
      </c>
      <c r="O122" s="15">
        <f t="shared" si="34"/>
        <v>182.60000399999998</v>
      </c>
      <c r="P122" s="15">
        <f t="shared" si="35"/>
        <v>144.39999600000002</v>
      </c>
      <c r="S122">
        <f t="shared" si="43"/>
        <v>323</v>
      </c>
      <c r="T122">
        <v>27</v>
      </c>
      <c r="U122" s="12">
        <v>98</v>
      </c>
      <c r="V122">
        <v>14946</v>
      </c>
      <c r="W122" s="12">
        <f t="shared" si="39"/>
        <v>50.995752000000003</v>
      </c>
      <c r="X122" s="82">
        <f t="shared" si="41"/>
        <v>47.004247999999997</v>
      </c>
      <c r="Z122" s="84">
        <f t="shared" si="28"/>
        <v>66.618392</v>
      </c>
      <c r="AB122">
        <f t="shared" si="36"/>
        <v>326</v>
      </c>
      <c r="AC122" s="15">
        <f t="shared" si="31"/>
        <v>144.39999600000002</v>
      </c>
      <c r="AD122" s="15">
        <f t="shared" si="32"/>
        <v>139.446628</v>
      </c>
      <c r="AE122" s="15">
        <f t="shared" si="33"/>
        <v>139.446628</v>
      </c>
      <c r="AF122" s="30">
        <f t="shared" si="29"/>
        <v>1.0355216047246407</v>
      </c>
      <c r="AG122" s="18">
        <f t="shared" si="30"/>
        <v>144.39999600000002</v>
      </c>
    </row>
    <row r="123" spans="4:58" x14ac:dyDescent="0.2">
      <c r="D123">
        <f t="shared" si="42"/>
        <v>324</v>
      </c>
      <c r="E123">
        <v>29</v>
      </c>
      <c r="F123" s="12">
        <v>3619</v>
      </c>
      <c r="G123">
        <v>37032</v>
      </c>
      <c r="H123" s="12">
        <f t="shared" si="37"/>
        <v>126.353184</v>
      </c>
      <c r="I123" s="12">
        <f t="shared" si="40"/>
        <v>3492.6468159999999</v>
      </c>
      <c r="K123" s="31"/>
      <c r="L123" s="31"/>
      <c r="N123">
        <f t="shared" si="38"/>
        <v>327</v>
      </c>
      <c r="O123" s="15">
        <f t="shared" si="34"/>
        <v>134.013124</v>
      </c>
      <c r="P123" s="15">
        <f t="shared" si="35"/>
        <v>834.98687599999994</v>
      </c>
      <c r="S123">
        <f t="shared" si="43"/>
        <v>324</v>
      </c>
      <c r="T123">
        <v>29</v>
      </c>
      <c r="U123" s="12">
        <v>3622</v>
      </c>
      <c r="V123">
        <v>37059</v>
      </c>
      <c r="W123" s="12">
        <f t="shared" si="39"/>
        <v>126.445308</v>
      </c>
      <c r="X123" s="82">
        <f t="shared" si="41"/>
        <v>3495.5546920000002</v>
      </c>
      <c r="Z123" s="84">
        <f t="shared" si="28"/>
        <v>3492.6468159999999</v>
      </c>
      <c r="AB123">
        <f t="shared" si="36"/>
        <v>327</v>
      </c>
      <c r="AC123" s="15">
        <f t="shared" si="31"/>
        <v>834.98687599999994</v>
      </c>
      <c r="AD123" s="15">
        <f t="shared" si="32"/>
        <v>835.03805599999998</v>
      </c>
      <c r="AE123" s="15">
        <f t="shared" si="33"/>
        <v>835.03805599999998</v>
      </c>
      <c r="AF123" s="30">
        <f t="shared" si="29"/>
        <v>0.99993870938021057</v>
      </c>
      <c r="AG123" s="18">
        <f t="shared" si="30"/>
        <v>834.98687599999994</v>
      </c>
      <c r="AJ123" t="s">
        <v>75</v>
      </c>
      <c r="AK123" t="s">
        <v>76</v>
      </c>
      <c r="AL123" t="s">
        <v>68</v>
      </c>
      <c r="AM123" t="s">
        <v>69</v>
      </c>
      <c r="AN123" t="s">
        <v>70</v>
      </c>
      <c r="AO123" t="s">
        <v>71</v>
      </c>
      <c r="AP123" t="s">
        <v>72</v>
      </c>
      <c r="AQ123" t="s">
        <v>73</v>
      </c>
      <c r="AR123" t="s">
        <v>74</v>
      </c>
      <c r="AU123">
        <v>140</v>
      </c>
      <c r="AV123">
        <v>141</v>
      </c>
      <c r="AW123">
        <v>142</v>
      </c>
      <c r="AX123">
        <v>143</v>
      </c>
      <c r="AY123">
        <v>144</v>
      </c>
      <c r="AZ123">
        <v>145</v>
      </c>
      <c r="BA123">
        <v>146</v>
      </c>
      <c r="BB123">
        <v>147</v>
      </c>
      <c r="BC123">
        <v>148</v>
      </c>
      <c r="BD123">
        <v>149</v>
      </c>
      <c r="BE123">
        <v>150</v>
      </c>
      <c r="BF123">
        <v>151</v>
      </c>
    </row>
    <row r="124" spans="4:58" x14ac:dyDescent="0.2">
      <c r="D124">
        <f t="shared" si="42"/>
        <v>325</v>
      </c>
      <c r="E124">
        <v>28</v>
      </c>
      <c r="F124" s="12">
        <v>3722</v>
      </c>
      <c r="G124">
        <v>166598</v>
      </c>
      <c r="H124" s="12">
        <f t="shared" si="37"/>
        <v>568.43237599999998</v>
      </c>
      <c r="I124" s="12">
        <f t="shared" si="40"/>
        <v>3153.5676240000003</v>
      </c>
      <c r="K124" s="31"/>
      <c r="L124" s="31"/>
      <c r="N124">
        <f t="shared" si="38"/>
        <v>331</v>
      </c>
      <c r="O124" s="15">
        <f t="shared" si="34"/>
        <v>544.643912</v>
      </c>
      <c r="P124" s="15">
        <f t="shared" si="35"/>
        <v>2031.356088</v>
      </c>
      <c r="S124">
        <f t="shared" si="43"/>
        <v>325</v>
      </c>
      <c r="T124">
        <v>28</v>
      </c>
      <c r="U124" s="12">
        <v>3704</v>
      </c>
      <c r="V124">
        <v>169233</v>
      </c>
      <c r="W124" s="12">
        <f t="shared" si="39"/>
        <v>577.42299600000001</v>
      </c>
      <c r="X124" s="82">
        <f t="shared" si="41"/>
        <v>3126.5770039999998</v>
      </c>
      <c r="Z124" s="84">
        <f t="shared" si="28"/>
        <v>3153.5676240000003</v>
      </c>
      <c r="AB124">
        <f t="shared" si="36"/>
        <v>331</v>
      </c>
      <c r="AC124" s="15">
        <f t="shared" si="31"/>
        <v>2031.356088</v>
      </c>
      <c r="AD124" s="15">
        <f t="shared" si="32"/>
        <v>2010.4524719999999</v>
      </c>
      <c r="AE124" s="15">
        <f t="shared" si="33"/>
        <v>2010.4524719999999</v>
      </c>
      <c r="AF124" s="30">
        <f t="shared" si="29"/>
        <v>1.010397468376462</v>
      </c>
      <c r="AG124" s="18">
        <f t="shared" si="30"/>
        <v>2031.356088</v>
      </c>
    </row>
    <row r="125" spans="4:58" x14ac:dyDescent="0.2">
      <c r="D125">
        <f t="shared" si="42"/>
        <v>326</v>
      </c>
      <c r="E125">
        <v>30</v>
      </c>
      <c r="F125" s="12">
        <v>318</v>
      </c>
      <c r="G125">
        <v>52331</v>
      </c>
      <c r="H125" s="12">
        <f t="shared" si="37"/>
        <v>178.553372</v>
      </c>
      <c r="I125" s="12">
        <f t="shared" si="40"/>
        <v>139.446628</v>
      </c>
      <c r="K125" s="31"/>
      <c r="L125" s="31"/>
      <c r="N125">
        <f t="shared" si="38"/>
        <v>332</v>
      </c>
      <c r="O125" s="15">
        <f t="shared" si="34"/>
        <v>175.71458799999999</v>
      </c>
      <c r="P125" s="15">
        <f t="shared" ref="P125:P131" si="44">X128</f>
        <v>265.28541200000001</v>
      </c>
      <c r="S125">
        <f t="shared" si="43"/>
        <v>326</v>
      </c>
      <c r="T125">
        <v>30</v>
      </c>
      <c r="U125" s="12">
        <v>327</v>
      </c>
      <c r="V125">
        <v>53517</v>
      </c>
      <c r="W125" s="12">
        <f t="shared" si="39"/>
        <v>182.60000399999998</v>
      </c>
      <c r="X125" s="82">
        <f t="shared" si="41"/>
        <v>144.39999600000002</v>
      </c>
      <c r="Z125" s="84">
        <f t="shared" si="28"/>
        <v>139.446628</v>
      </c>
      <c r="AB125">
        <f t="shared" si="36"/>
        <v>332</v>
      </c>
      <c r="AC125" s="15">
        <f t="shared" si="31"/>
        <v>265.28541200000001</v>
      </c>
      <c r="AD125" s="15">
        <f>Z128+$AG$142*Z129-$AG$149*Z128</f>
        <v>263.95721695999998</v>
      </c>
      <c r="AE125" s="15">
        <f>Z128+$AG$142*Z129-$AG$149*Z128</f>
        <v>263.95721695999998</v>
      </c>
      <c r="AF125" s="30">
        <f t="shared" si="29"/>
        <v>1.0050318572657224</v>
      </c>
      <c r="AG125" s="18">
        <f t="shared" si="30"/>
        <v>265.28541200000001</v>
      </c>
      <c r="AH125">
        <v>2</v>
      </c>
      <c r="AL125">
        <v>-1</v>
      </c>
      <c r="AM125">
        <v>-1</v>
      </c>
      <c r="AW125">
        <v>1</v>
      </c>
      <c r="BD125">
        <v>-1</v>
      </c>
    </row>
    <row r="126" spans="4:58" x14ac:dyDescent="0.2">
      <c r="D126">
        <f t="shared" si="42"/>
        <v>327</v>
      </c>
      <c r="E126">
        <v>32</v>
      </c>
      <c r="F126" s="12">
        <v>969</v>
      </c>
      <c r="G126">
        <v>39262</v>
      </c>
      <c r="H126" s="12">
        <f t="shared" si="37"/>
        <v>133.96194399999999</v>
      </c>
      <c r="I126" s="12">
        <f t="shared" si="40"/>
        <v>835.03805599999998</v>
      </c>
      <c r="K126" s="31"/>
      <c r="L126" s="31"/>
      <c r="N126">
        <f t="shared" si="38"/>
        <v>333</v>
      </c>
      <c r="O126" s="15">
        <f t="shared" si="34"/>
        <v>96.143335999999991</v>
      </c>
      <c r="P126" s="15">
        <f t="shared" si="44"/>
        <v>116.85666400000001</v>
      </c>
      <c r="S126">
        <f t="shared" si="43"/>
        <v>327</v>
      </c>
      <c r="T126">
        <v>32</v>
      </c>
      <c r="U126" s="12">
        <v>969</v>
      </c>
      <c r="V126">
        <v>39277</v>
      </c>
      <c r="W126" s="12">
        <f t="shared" si="39"/>
        <v>134.013124</v>
      </c>
      <c r="X126" s="82">
        <f t="shared" si="41"/>
        <v>834.98687599999994</v>
      </c>
      <c r="Z126" s="84">
        <f t="shared" si="28"/>
        <v>835.03805599999998</v>
      </c>
      <c r="AB126">
        <f t="shared" si="36"/>
        <v>333</v>
      </c>
      <c r="AC126" s="15">
        <f t="shared" si="31"/>
        <v>116.85666400000001</v>
      </c>
      <c r="AD126" s="15">
        <f>Z129-$AG$142*Z129-$AG$140*Z129-$AG$141*Z129+$AG$146*Z130</f>
        <v>117.96876208000002</v>
      </c>
      <c r="AE126" s="15">
        <f>Z129-$AG$142*Z129-$AG$140*Z129-$AG$141*Z129+$AG$146*Z130</f>
        <v>117.96876208000002</v>
      </c>
      <c r="AF126" s="30">
        <f t="shared" si="29"/>
        <v>0.99057294439314503</v>
      </c>
      <c r="AG126" s="18">
        <f t="shared" si="30"/>
        <v>116.85666400000001</v>
      </c>
      <c r="AH126">
        <v>4</v>
      </c>
      <c r="AM126">
        <v>-3</v>
      </c>
      <c r="AN126">
        <v>1</v>
      </c>
      <c r="AU126">
        <v>-1</v>
      </c>
      <c r="AV126">
        <v>-1</v>
      </c>
      <c r="AW126">
        <v>-1</v>
      </c>
      <c r="BA126">
        <f>1</f>
        <v>1</v>
      </c>
    </row>
    <row r="127" spans="4:58" x14ac:dyDescent="0.2">
      <c r="D127">
        <f t="shared" si="42"/>
        <v>331</v>
      </c>
      <c r="E127">
        <v>33</v>
      </c>
      <c r="F127" s="12">
        <v>2570</v>
      </c>
      <c r="G127">
        <v>163994</v>
      </c>
      <c r="H127" s="12">
        <f t="shared" si="37"/>
        <v>559.54752799999994</v>
      </c>
      <c r="I127" s="12">
        <f t="shared" si="40"/>
        <v>2010.4524719999999</v>
      </c>
      <c r="K127" s="31"/>
      <c r="L127" s="31"/>
      <c r="N127">
        <f t="shared" si="38"/>
        <v>334</v>
      </c>
      <c r="O127" s="15">
        <f t="shared" si="34"/>
        <v>137.186284</v>
      </c>
      <c r="P127" s="15">
        <f t="shared" si="44"/>
        <v>67.813715999999999</v>
      </c>
      <c r="S127">
        <f t="shared" si="43"/>
        <v>331</v>
      </c>
      <c r="T127">
        <v>33</v>
      </c>
      <c r="U127" s="12">
        <v>2576</v>
      </c>
      <c r="V127">
        <v>159626</v>
      </c>
      <c r="W127" s="12">
        <f t="shared" si="39"/>
        <v>544.643912</v>
      </c>
      <c r="X127" s="82">
        <f t="shared" si="41"/>
        <v>2031.356088</v>
      </c>
      <c r="Z127" s="84">
        <f t="shared" si="28"/>
        <v>2010.4524719999999</v>
      </c>
      <c r="AB127">
        <f t="shared" si="36"/>
        <v>334</v>
      </c>
      <c r="AC127" s="15">
        <f t="shared" si="31"/>
        <v>67.813715999999999</v>
      </c>
      <c r="AD127" s="15">
        <f>$AG$140*Z129+$AG$153*Z130+$AG$151*Z131</f>
        <v>66.258774840000001</v>
      </c>
      <c r="AE127">
        <f>$AG$140*Z129+$AG$153*Z130+$AG$151*Z131</f>
        <v>66.258774840000001</v>
      </c>
      <c r="AF127" s="30">
        <f t="shared" si="29"/>
        <v>1.0234677016554385</v>
      </c>
      <c r="AG127" s="18">
        <f t="shared" si="30"/>
        <v>67.813715999999999</v>
      </c>
      <c r="AH127">
        <v>3</v>
      </c>
      <c r="AM127">
        <v>1</v>
      </c>
      <c r="AN127">
        <v>1</v>
      </c>
      <c r="AO127">
        <v>1</v>
      </c>
      <c r="AU127">
        <v>1</v>
      </c>
      <c r="AZ127">
        <v>1</v>
      </c>
      <c r="BF127">
        <v>1</v>
      </c>
    </row>
    <row r="128" spans="4:58" x14ac:dyDescent="0.2">
      <c r="D128">
        <f t="shared" si="42"/>
        <v>332</v>
      </c>
      <c r="E128">
        <v>34</v>
      </c>
      <c r="F128" s="12">
        <v>409</v>
      </c>
      <c r="G128">
        <v>48219</v>
      </c>
      <c r="H128" s="12">
        <f t="shared" si="37"/>
        <v>164.52322800000002</v>
      </c>
      <c r="I128" s="12">
        <f t="shared" si="40"/>
        <v>244.47677199999998</v>
      </c>
      <c r="K128" s="31"/>
      <c r="L128" s="31"/>
      <c r="N128">
        <f t="shared" si="38"/>
        <v>335</v>
      </c>
      <c r="O128" s="15">
        <f t="shared" si="34"/>
        <v>55.328992</v>
      </c>
      <c r="P128" s="15">
        <f t="shared" si="44"/>
        <v>60.671008</v>
      </c>
      <c r="S128">
        <f t="shared" si="43"/>
        <v>332</v>
      </c>
      <c r="T128">
        <v>34</v>
      </c>
      <c r="U128" s="12">
        <v>441</v>
      </c>
      <c r="V128">
        <v>51499</v>
      </c>
      <c r="W128" s="12">
        <f t="shared" si="39"/>
        <v>175.71458799999999</v>
      </c>
      <c r="X128" s="82">
        <f t="shared" si="41"/>
        <v>265.28541200000001</v>
      </c>
      <c r="Z128" s="84">
        <f t="shared" si="28"/>
        <v>244.47677199999998</v>
      </c>
      <c r="AB128">
        <f t="shared" si="36"/>
        <v>335</v>
      </c>
      <c r="AC128" s="15">
        <f t="shared" si="31"/>
        <v>60.671008</v>
      </c>
      <c r="AD128" s="15">
        <f>(1-$AG$150-$AG$151)*Z131</f>
        <v>67.946104799999986</v>
      </c>
      <c r="AE128">
        <f>(1-$AG$150-$AG$151)*Z131</f>
        <v>67.946104799999986</v>
      </c>
      <c r="AF128" s="30">
        <f t="shared" si="29"/>
        <v>0.8929284199379155</v>
      </c>
      <c r="AG128" s="18">
        <f t="shared" si="30"/>
        <v>60.671008</v>
      </c>
      <c r="AH128">
        <v>2</v>
      </c>
      <c r="AP128">
        <v>-2</v>
      </c>
      <c r="BE128">
        <v>-1</v>
      </c>
      <c r="BF128">
        <v>-1</v>
      </c>
    </row>
    <row r="129" spans="4:57" x14ac:dyDescent="0.2">
      <c r="D129">
        <f t="shared" si="42"/>
        <v>333</v>
      </c>
      <c r="E129">
        <v>35</v>
      </c>
      <c r="F129" s="12">
        <v>278</v>
      </c>
      <c r="G129">
        <v>38577</v>
      </c>
      <c r="H129" s="12">
        <f t="shared" si="37"/>
        <v>131.62472399999999</v>
      </c>
      <c r="I129" s="12">
        <f t="shared" si="40"/>
        <v>146.37527600000001</v>
      </c>
      <c r="K129" s="31"/>
      <c r="L129" s="31"/>
      <c r="N129">
        <f t="shared" si="38"/>
        <v>336</v>
      </c>
      <c r="O129" s="15">
        <f t="shared" si="34"/>
        <v>195.244876</v>
      </c>
      <c r="P129" s="15">
        <f t="shared" si="44"/>
        <v>292.75512400000002</v>
      </c>
      <c r="S129">
        <f t="shared" si="43"/>
        <v>333</v>
      </c>
      <c r="T129">
        <v>35</v>
      </c>
      <c r="U129" s="12">
        <v>213</v>
      </c>
      <c r="V129">
        <v>28178</v>
      </c>
      <c r="W129" s="12">
        <f t="shared" si="39"/>
        <v>96.143335999999991</v>
      </c>
      <c r="X129" s="82">
        <f t="shared" si="41"/>
        <v>116.85666400000001</v>
      </c>
      <c r="Z129" s="84">
        <f t="shared" si="28"/>
        <v>146.37527600000001</v>
      </c>
      <c r="AB129">
        <f t="shared" si="36"/>
        <v>336</v>
      </c>
      <c r="AC129" s="15">
        <f t="shared" si="31"/>
        <v>292.75512400000002</v>
      </c>
      <c r="AD129" s="15">
        <f>Z132+$AG$149*Z128+AF$141*Z129+$AG$150*Z131</f>
        <v>278.82884596000002</v>
      </c>
      <c r="AE129" s="15">
        <f>Z132+$AG$149*Z128+AG$141*Z129+$AG$150*Z131</f>
        <v>278.82884596000002</v>
      </c>
      <c r="AF129" s="30">
        <f t="shared" si="29"/>
        <v>1.0499456144576871</v>
      </c>
      <c r="AG129" s="18">
        <f t="shared" si="30"/>
        <v>292.75512400000002</v>
      </c>
      <c r="AH129">
        <v>3</v>
      </c>
      <c r="AJ129">
        <v>1</v>
      </c>
      <c r="AL129">
        <v>1</v>
      </c>
      <c r="AO129">
        <v>1</v>
      </c>
      <c r="AV129">
        <v>1</v>
      </c>
      <c r="BD129">
        <v>1</v>
      </c>
      <c r="BE129">
        <v>1</v>
      </c>
    </row>
    <row r="130" spans="4:57" x14ac:dyDescent="0.2">
      <c r="D130">
        <f t="shared" si="42"/>
        <v>334</v>
      </c>
      <c r="E130" s="3">
        <v>38</v>
      </c>
      <c r="F130" s="12">
        <v>115</v>
      </c>
      <c r="G130">
        <v>15696</v>
      </c>
      <c r="H130" s="12">
        <f t="shared" si="37"/>
        <v>53.554752000000001</v>
      </c>
      <c r="I130" s="12">
        <f t="shared" si="40"/>
        <v>61.445247999999999</v>
      </c>
      <c r="K130" s="31"/>
      <c r="L130" s="31"/>
      <c r="N130">
        <f t="shared" si="38"/>
        <v>337</v>
      </c>
      <c r="O130" s="15">
        <f t="shared" si="34"/>
        <v>29.500152</v>
      </c>
      <c r="P130" s="15">
        <f t="shared" si="44"/>
        <v>58.499848</v>
      </c>
      <c r="S130">
        <f t="shared" si="43"/>
        <v>334</v>
      </c>
      <c r="T130" s="3">
        <v>38</v>
      </c>
      <c r="U130" s="12">
        <v>205</v>
      </c>
      <c r="V130">
        <v>40207</v>
      </c>
      <c r="W130" s="12">
        <f t="shared" si="39"/>
        <v>137.186284</v>
      </c>
      <c r="X130" s="82">
        <f t="shared" si="41"/>
        <v>67.813715999999999</v>
      </c>
      <c r="Z130" s="84">
        <f t="shared" si="28"/>
        <v>61.445247999999999</v>
      </c>
      <c r="AB130">
        <f t="shared" si="36"/>
        <v>337</v>
      </c>
      <c r="AC130" s="15">
        <f t="shared" si="31"/>
        <v>58.499848</v>
      </c>
      <c r="AD130" s="15">
        <f>Z133</f>
        <v>52.580883999999998</v>
      </c>
      <c r="AE130" s="15">
        <f>Z133</f>
        <v>52.580883999999998</v>
      </c>
      <c r="AF130" s="30">
        <f t="shared" si="29"/>
        <v>1.1125687426632083</v>
      </c>
      <c r="AG130" s="18">
        <f t="shared" si="30"/>
        <v>58.499848</v>
      </c>
    </row>
    <row r="131" spans="4:57" x14ac:dyDescent="0.2">
      <c r="D131">
        <f t="shared" si="42"/>
        <v>335</v>
      </c>
      <c r="E131">
        <v>36</v>
      </c>
      <c r="F131">
        <v>256</v>
      </c>
      <c r="G131">
        <v>43420</v>
      </c>
      <c r="H131" s="12">
        <f t="shared" si="37"/>
        <v>148.14904000000001</v>
      </c>
      <c r="I131" s="12">
        <f t="shared" si="40"/>
        <v>107.85095999999999</v>
      </c>
      <c r="K131" s="31"/>
      <c r="L131" s="31"/>
      <c r="N131">
        <f t="shared" si="38"/>
        <v>339</v>
      </c>
      <c r="O131" s="15">
        <f t="shared" si="34"/>
        <v>40.299132</v>
      </c>
      <c r="P131" s="15">
        <f t="shared" si="44"/>
        <v>47.700868</v>
      </c>
      <c r="S131">
        <f t="shared" si="43"/>
        <v>335</v>
      </c>
      <c r="T131">
        <v>36</v>
      </c>
      <c r="U131">
        <v>116</v>
      </c>
      <c r="V131">
        <v>16216</v>
      </c>
      <c r="W131" s="12">
        <f t="shared" si="39"/>
        <v>55.328992</v>
      </c>
      <c r="X131" s="82">
        <f t="shared" si="41"/>
        <v>60.671008</v>
      </c>
      <c r="Z131" s="84">
        <f t="shared" si="28"/>
        <v>107.85095999999999</v>
      </c>
      <c r="AB131">
        <f t="shared" si="36"/>
        <v>339</v>
      </c>
      <c r="AC131" s="15">
        <f t="shared" si="31"/>
        <v>47.700868</v>
      </c>
      <c r="AD131" s="15">
        <f>Z134+$AG$147*Z130</f>
        <v>50.927187359999998</v>
      </c>
      <c r="AE131">
        <f>Z134+$AG$147*Z130</f>
        <v>50.927187359999998</v>
      </c>
      <c r="AF131" s="30">
        <f t="shared" si="29"/>
        <v>0.93664838905802084</v>
      </c>
      <c r="AG131" s="18">
        <f t="shared" si="30"/>
        <v>47.700868</v>
      </c>
      <c r="AH131">
        <v>1</v>
      </c>
      <c r="AN131">
        <v>1</v>
      </c>
      <c r="AQ131">
        <v>1</v>
      </c>
    </row>
    <row r="132" spans="4:57" x14ac:dyDescent="0.2">
      <c r="D132">
        <f t="shared" si="42"/>
        <v>336</v>
      </c>
      <c r="E132">
        <v>37</v>
      </c>
      <c r="F132" s="12">
        <v>421</v>
      </c>
      <c r="G132">
        <v>48806</v>
      </c>
      <c r="H132" s="12">
        <f t="shared" si="37"/>
        <v>166.526072</v>
      </c>
      <c r="I132" s="12">
        <f t="shared" si="40"/>
        <v>254.473928</v>
      </c>
      <c r="K132" s="31"/>
      <c r="L132" s="31"/>
      <c r="O132" s="15">
        <f>SUM(O114:O131)</f>
        <v>3034.8852880000004</v>
      </c>
      <c r="P132" s="15">
        <f>SUM(P114:P131)</f>
        <v>14659.114711999997</v>
      </c>
      <c r="S132">
        <f t="shared" si="43"/>
        <v>336</v>
      </c>
      <c r="T132">
        <v>37</v>
      </c>
      <c r="U132" s="12">
        <v>488</v>
      </c>
      <c r="V132">
        <v>57223</v>
      </c>
      <c r="W132" s="12">
        <f t="shared" si="39"/>
        <v>195.244876</v>
      </c>
      <c r="X132" s="82">
        <f t="shared" si="41"/>
        <v>292.75512400000002</v>
      </c>
      <c r="Z132" s="84">
        <f t="shared" si="28"/>
        <v>254.473928</v>
      </c>
      <c r="AC132" s="15">
        <f>SUM(AC114:AC131)</f>
        <v>14659.114711999997</v>
      </c>
      <c r="AD132" s="15">
        <f>SUM(AD114:AD131)</f>
        <v>14731.700419999999</v>
      </c>
      <c r="AE132" s="15">
        <f>SUM(AE114:AE131)</f>
        <v>14731.700419999999</v>
      </c>
      <c r="AF132" s="15"/>
      <c r="AG132" s="15">
        <f>SUM(AG114:AG131)</f>
        <v>14659.114711999997</v>
      </c>
      <c r="AH132">
        <f>SUM(AH125:AH131)</f>
        <v>15</v>
      </c>
      <c r="AQ132" t="s">
        <v>67</v>
      </c>
    </row>
    <row r="133" spans="4:57" x14ac:dyDescent="0.2">
      <c r="D133">
        <f t="shared" si="42"/>
        <v>337</v>
      </c>
      <c r="E133">
        <v>25</v>
      </c>
      <c r="F133" s="12">
        <v>79</v>
      </c>
      <c r="G133">
        <v>7743</v>
      </c>
      <c r="H133" s="12">
        <f t="shared" si="37"/>
        <v>26.419115999999999</v>
      </c>
      <c r="I133" s="12">
        <f t="shared" si="40"/>
        <v>52.580883999999998</v>
      </c>
      <c r="K133" s="31"/>
      <c r="L133" s="31"/>
      <c r="S133">
        <f t="shared" si="43"/>
        <v>337</v>
      </c>
      <c r="T133">
        <v>25</v>
      </c>
      <c r="U133" s="12">
        <v>88</v>
      </c>
      <c r="V133">
        <v>8646</v>
      </c>
      <c r="W133" s="12">
        <f t="shared" si="39"/>
        <v>29.500152</v>
      </c>
      <c r="X133" s="82">
        <f t="shared" si="41"/>
        <v>58.499848</v>
      </c>
      <c r="Z133" s="84">
        <f t="shared" si="28"/>
        <v>52.580883999999998</v>
      </c>
    </row>
    <row r="134" spans="4:57" x14ac:dyDescent="0.2">
      <c r="D134">
        <f t="shared" si="42"/>
        <v>339</v>
      </c>
      <c r="E134">
        <v>39</v>
      </c>
      <c r="F134" s="12">
        <v>50</v>
      </c>
      <c r="G134">
        <v>5491</v>
      </c>
      <c r="H134" s="12">
        <f t="shared" si="37"/>
        <v>18.735292000000001</v>
      </c>
      <c r="I134" s="12">
        <f t="shared" si="40"/>
        <v>31.264707999999999</v>
      </c>
      <c r="K134" s="31"/>
      <c r="L134" s="31"/>
      <c r="S134">
        <f t="shared" si="43"/>
        <v>339</v>
      </c>
      <c r="T134">
        <v>39</v>
      </c>
      <c r="U134" s="12">
        <v>88</v>
      </c>
      <c r="V134">
        <v>11811</v>
      </c>
      <c r="W134" s="12">
        <f t="shared" si="39"/>
        <v>40.299132</v>
      </c>
      <c r="X134" s="82">
        <f t="shared" si="41"/>
        <v>47.700868</v>
      </c>
      <c r="Z134" s="84">
        <f t="shared" si="28"/>
        <v>31.264707999999999</v>
      </c>
    </row>
    <row r="135" spans="4:57" x14ac:dyDescent="0.2">
      <c r="F135" s="15">
        <f>SUM(F114:F134)</f>
        <v>17822</v>
      </c>
      <c r="G135" s="15">
        <f>SUM(G114:G134)</f>
        <v>905715</v>
      </c>
      <c r="H135" s="15">
        <f>SUM(H114:H134)</f>
        <v>3090.2995799999999</v>
      </c>
      <c r="I135" s="15">
        <f>SUM(I114:I134)</f>
        <v>14731.700420000001</v>
      </c>
      <c r="K135" s="31"/>
      <c r="L135" s="31"/>
      <c r="U135" s="15">
        <f>SUM(U114:U134)</f>
        <v>17694</v>
      </c>
      <c r="V135" s="15">
        <f>SUM(V114:V134)</f>
        <v>889474</v>
      </c>
      <c r="W135" s="15">
        <f>SUM(W114:W134)</f>
        <v>3034.8852880000004</v>
      </c>
      <c r="X135" s="83">
        <f>SUM(X114:X134)</f>
        <v>14659.114711999997</v>
      </c>
      <c r="Z135" s="83">
        <f>SUM(Z114:Z134)</f>
        <v>14731.700420000001</v>
      </c>
    </row>
    <row r="136" spans="4:57" x14ac:dyDescent="0.2">
      <c r="K136" s="31"/>
      <c r="L136" s="31"/>
      <c r="AU136" t="s">
        <v>82</v>
      </c>
    </row>
    <row r="137" spans="4:57" x14ac:dyDescent="0.2">
      <c r="F137" s="12"/>
      <c r="K137" s="31"/>
      <c r="L137" s="31"/>
      <c r="Z137" t="s">
        <v>57</v>
      </c>
      <c r="AK137" t="s">
        <v>89</v>
      </c>
      <c r="AU137" t="s">
        <v>57</v>
      </c>
    </row>
    <row r="138" spans="4:57" x14ac:dyDescent="0.2">
      <c r="D138">
        <v>2002</v>
      </c>
      <c r="E138" t="s">
        <v>38</v>
      </c>
      <c r="F138" t="s">
        <v>95</v>
      </c>
      <c r="J138" s="31"/>
      <c r="K138" s="31"/>
      <c r="L138" s="31"/>
      <c r="N138" t="s">
        <v>94</v>
      </c>
      <c r="Z138" t="s">
        <v>54</v>
      </c>
      <c r="AF138">
        <v>1998</v>
      </c>
      <c r="AK138">
        <f t="shared" ref="AK138:AK151" si="45">BA138</f>
        <v>1988</v>
      </c>
      <c r="AM138">
        <v>1991</v>
      </c>
      <c r="AO138">
        <v>1994</v>
      </c>
      <c r="AQ138">
        <v>1998</v>
      </c>
      <c r="AU138" t="s">
        <v>54</v>
      </c>
      <c r="BA138">
        <v>1988</v>
      </c>
    </row>
    <row r="139" spans="4:57" ht="34.5" thickBot="1" x14ac:dyDescent="0.25">
      <c r="F139" s="10" t="s">
        <v>33</v>
      </c>
      <c r="G139" s="11" t="s">
        <v>34</v>
      </c>
      <c r="H139" s="11" t="s">
        <v>35</v>
      </c>
      <c r="I139" s="11" t="s">
        <v>36</v>
      </c>
      <c r="J139" s="32"/>
      <c r="K139" s="32"/>
      <c r="L139" s="32"/>
      <c r="O139" s="17" t="s">
        <v>35</v>
      </c>
      <c r="P139" s="17" t="s">
        <v>36</v>
      </c>
      <c r="AF139" t="s">
        <v>77</v>
      </c>
      <c r="AG139" s="3" t="s">
        <v>78</v>
      </c>
      <c r="AK139" t="str">
        <f t="shared" si="45"/>
        <v>Initial</v>
      </c>
      <c r="AL139" t="str">
        <f t="shared" ref="AL139:AL147" si="46">BB139</f>
        <v>Adjusted</v>
      </c>
      <c r="AN139" t="s">
        <v>78</v>
      </c>
      <c r="AP139" t="str">
        <f>AG139</f>
        <v>Adjusted</v>
      </c>
      <c r="AR139" t="s">
        <v>78</v>
      </c>
      <c r="BA139" t="s">
        <v>77</v>
      </c>
      <c r="BB139" s="3" t="s">
        <v>78</v>
      </c>
    </row>
    <row r="140" spans="4:57" x14ac:dyDescent="0.2">
      <c r="D140" s="2">
        <v>311</v>
      </c>
      <c r="F140" s="12">
        <v>1116</v>
      </c>
      <c r="G140" s="12">
        <v>67521</v>
      </c>
      <c r="H140" s="12">
        <f>G140*3.412*0.001</f>
        <v>230.381652</v>
      </c>
      <c r="I140" s="12">
        <f t="shared" ref="I140:I145" si="47">F140-H140</f>
        <v>885.61834799999997</v>
      </c>
      <c r="J140" s="19"/>
      <c r="K140" s="19"/>
      <c r="L140" s="19"/>
      <c r="N140" t="s">
        <v>12</v>
      </c>
      <c r="O140" s="15">
        <f>H140+H141</f>
        <v>256.44592</v>
      </c>
      <c r="P140" s="15">
        <f>I140+I141</f>
        <v>963.55408</v>
      </c>
      <c r="Z140" t="s">
        <v>46</v>
      </c>
      <c r="AF140" s="20">
        <v>0.05</v>
      </c>
      <c r="AG140" s="20">
        <f>AF140</f>
        <v>0.05</v>
      </c>
      <c r="AH140">
        <f>AF140*Z129</f>
        <v>7.318763800000001</v>
      </c>
      <c r="AK140" s="28">
        <f t="shared" si="45"/>
        <v>0.06</v>
      </c>
      <c r="AL140" s="28">
        <f t="shared" si="46"/>
        <v>0.06</v>
      </c>
      <c r="AN140" s="29">
        <f>0.7*AL140+0.3*AR140</f>
        <v>5.6999999999999995E-2</v>
      </c>
      <c r="AP140" s="29">
        <f>0.4*AL140+0.6*AR140</f>
        <v>5.3999999999999999E-2</v>
      </c>
      <c r="AR140" s="20">
        <f>AG140</f>
        <v>0.05</v>
      </c>
      <c r="AT140">
        <f>39.8/622.4</f>
        <v>6.3946015424164518E-2</v>
      </c>
      <c r="AU140" t="s">
        <v>83</v>
      </c>
      <c r="BA140" s="20">
        <v>0.06</v>
      </c>
      <c r="BB140" s="20">
        <v>0.06</v>
      </c>
    </row>
    <row r="141" spans="4:57" x14ac:dyDescent="0.2">
      <c r="D141" s="2">
        <v>312</v>
      </c>
      <c r="F141" s="19">
        <v>104</v>
      </c>
      <c r="G141" s="12">
        <v>7639</v>
      </c>
      <c r="H141" s="12">
        <f>G141*3.412*0.001</f>
        <v>26.064268000000002</v>
      </c>
      <c r="I141" s="12">
        <f t="shared" si="47"/>
        <v>77.935732000000002</v>
      </c>
      <c r="J141" s="19"/>
      <c r="K141" s="19"/>
      <c r="L141" s="19"/>
      <c r="N141" t="s">
        <v>13</v>
      </c>
      <c r="O141" s="15">
        <f>H142+H143</f>
        <v>103.22465200000001</v>
      </c>
      <c r="P141" s="15">
        <f>I142+I143</f>
        <v>161.77534800000001</v>
      </c>
      <c r="Z141" t="s">
        <v>47</v>
      </c>
      <c r="AE141">
        <f>11/658.2</f>
        <v>1.6712245518079611E-2</v>
      </c>
      <c r="AF141" s="20">
        <v>0.02</v>
      </c>
      <c r="AG141" s="20">
        <f>AF141</f>
        <v>0.02</v>
      </c>
      <c r="AH141">
        <f>AF141*Z129</f>
        <v>2.9275055200000004</v>
      </c>
      <c r="AK141" s="28">
        <f t="shared" si="45"/>
        <v>0.02</v>
      </c>
      <c r="AL141" s="28">
        <f t="shared" si="46"/>
        <v>0.02</v>
      </c>
      <c r="AN141" s="29">
        <f t="shared" ref="AN141:AN153" si="48">0.7*AL141+0.3*AR141</f>
        <v>1.9999999999999997E-2</v>
      </c>
      <c r="AP141" s="29">
        <f t="shared" ref="AP141:AP153" si="49">0.4*AL141+0.6*AR141</f>
        <v>0.02</v>
      </c>
      <c r="AR141" s="20">
        <f t="shared" ref="AR141:AR153" si="50">AG141</f>
        <v>0.02</v>
      </c>
      <c r="AU141" t="s">
        <v>84</v>
      </c>
      <c r="AZ141">
        <f>12.5/622.4</f>
        <v>2.0083547557840618E-2</v>
      </c>
      <c r="BA141" s="20">
        <v>0.02</v>
      </c>
      <c r="BB141" s="20">
        <f>BA141</f>
        <v>0.02</v>
      </c>
    </row>
    <row r="142" spans="4:57" x14ac:dyDescent="0.2">
      <c r="D142" s="2">
        <v>313</v>
      </c>
      <c r="F142" s="12">
        <v>205</v>
      </c>
      <c r="G142" s="12">
        <v>25271</v>
      </c>
      <c r="H142" s="12">
        <f>G142*3.412*0.001</f>
        <v>86.224652000000006</v>
      </c>
      <c r="I142" s="12">
        <f t="shared" si="47"/>
        <v>118.77534799999999</v>
      </c>
      <c r="J142" s="19"/>
      <c r="K142" s="19"/>
      <c r="L142" s="19"/>
      <c r="N142" t="s">
        <v>14</v>
      </c>
      <c r="O142" s="15">
        <f>H144+H145</f>
        <v>14.685248</v>
      </c>
      <c r="P142" s="15">
        <f>I144+I145</f>
        <v>22.314752000000002</v>
      </c>
      <c r="Z142" t="s">
        <v>48</v>
      </c>
      <c r="AE142">
        <f>98.8/638.7</f>
        <v>0.15468921246281508</v>
      </c>
      <c r="AF142" s="20">
        <v>0.15</v>
      </c>
      <c r="AG142" s="22">
        <v>0.25</v>
      </c>
      <c r="AH142">
        <f>AF142*Z129</f>
        <v>21.956291400000001</v>
      </c>
      <c r="AI142" t="s">
        <v>66</v>
      </c>
      <c r="AK142" s="28">
        <f t="shared" si="45"/>
        <v>0.12</v>
      </c>
      <c r="AL142" s="28">
        <f t="shared" si="46"/>
        <v>0.18</v>
      </c>
      <c r="AN142" s="29">
        <f t="shared" si="48"/>
        <v>0.20100000000000001</v>
      </c>
      <c r="AP142" s="29">
        <f t="shared" si="49"/>
        <v>0.22199999999999998</v>
      </c>
      <c r="AR142" s="20">
        <f t="shared" si="50"/>
        <v>0.25</v>
      </c>
      <c r="AU142" t="s">
        <v>85</v>
      </c>
      <c r="AZ142">
        <f>70.18/622.4</f>
        <v>0.11275706940874038</v>
      </c>
      <c r="BA142" s="20">
        <v>0.12</v>
      </c>
      <c r="BB142" s="22">
        <v>0.18</v>
      </c>
    </row>
    <row r="143" spans="4:57" x14ac:dyDescent="0.2">
      <c r="D143">
        <v>314</v>
      </c>
      <c r="F143" s="12">
        <v>60</v>
      </c>
      <c r="G143" s="12">
        <v>4875</v>
      </c>
      <c r="H143">
        <v>17</v>
      </c>
      <c r="I143" s="12">
        <f t="shared" si="47"/>
        <v>43</v>
      </c>
      <c r="J143" s="31"/>
      <c r="K143" s="31"/>
      <c r="L143" s="31"/>
      <c r="N143">
        <v>321</v>
      </c>
      <c r="O143" s="15">
        <f t="shared" ref="O143:O157" si="51">H146</f>
        <v>71.600819999999999</v>
      </c>
      <c r="P143" s="15">
        <f t="shared" ref="P143:P157" si="52">I146</f>
        <v>303.39918</v>
      </c>
      <c r="Z143" t="s">
        <v>49</v>
      </c>
      <c r="AE143">
        <f>27.4/219.1</f>
        <v>0.12505705157462346</v>
      </c>
      <c r="AF143" s="20">
        <v>0.13</v>
      </c>
      <c r="AG143" s="20">
        <f>AF143</f>
        <v>0.13</v>
      </c>
      <c r="AH143">
        <f>AF143*Z130</f>
        <v>7.9878822400000002</v>
      </c>
      <c r="AK143" s="28">
        <f t="shared" si="45"/>
        <v>0.14000000000000001</v>
      </c>
      <c r="AL143" s="28">
        <f t="shared" si="46"/>
        <v>0.14000000000000001</v>
      </c>
      <c r="AN143" s="29">
        <f t="shared" si="48"/>
        <v>0.13700000000000001</v>
      </c>
      <c r="AP143" s="29">
        <f t="shared" si="49"/>
        <v>0.13400000000000001</v>
      </c>
      <c r="AR143" s="20">
        <f t="shared" si="50"/>
        <v>0.13</v>
      </c>
      <c r="AU143" t="s">
        <v>86</v>
      </c>
      <c r="AZ143">
        <f>29.5/207.3</f>
        <v>0.14230583695127832</v>
      </c>
      <c r="BA143" s="20">
        <v>0.14000000000000001</v>
      </c>
      <c r="BB143" s="20">
        <f>BA143</f>
        <v>0.14000000000000001</v>
      </c>
    </row>
    <row r="144" spans="4:57" x14ac:dyDescent="0.2">
      <c r="D144">
        <v>315</v>
      </c>
      <c r="F144">
        <v>30</v>
      </c>
      <c r="G144">
        <v>3588</v>
      </c>
      <c r="H144" s="12">
        <f>G144*3.412*0.001</f>
        <v>12.242255999999999</v>
      </c>
      <c r="I144" s="12">
        <f t="shared" si="47"/>
        <v>17.757744000000002</v>
      </c>
      <c r="J144" s="19"/>
      <c r="K144" s="19"/>
      <c r="L144" s="19"/>
      <c r="N144">
        <f>D147</f>
        <v>322</v>
      </c>
      <c r="O144" s="15">
        <f t="shared" si="51"/>
        <v>223.49623600000001</v>
      </c>
      <c r="P144" s="15">
        <f t="shared" si="52"/>
        <v>2137.503764</v>
      </c>
      <c r="Z144">
        <f>(6.2+6.7+4.3+16.2)</f>
        <v>33.4</v>
      </c>
      <c r="AA144" t="s">
        <v>52</v>
      </c>
      <c r="AE144">
        <f>Z144/219.1</f>
        <v>0.15244180739388408</v>
      </c>
      <c r="AF144" s="20">
        <v>0.15</v>
      </c>
      <c r="AG144" s="20">
        <f>AF144</f>
        <v>0.15</v>
      </c>
      <c r="AH144">
        <f>AF144*Z130</f>
        <v>9.2167871999999988</v>
      </c>
      <c r="AK144" s="28">
        <f t="shared" si="45"/>
        <v>0.15</v>
      </c>
      <c r="AL144" s="28">
        <f t="shared" si="46"/>
        <v>0.15</v>
      </c>
      <c r="AN144" s="29">
        <f t="shared" si="48"/>
        <v>0.15</v>
      </c>
      <c r="AP144" s="29">
        <f t="shared" si="49"/>
        <v>0.15</v>
      </c>
      <c r="AR144" s="20">
        <f t="shared" si="50"/>
        <v>0.15</v>
      </c>
      <c r="AU144">
        <f>(4.8+12+2.7+13.8)</f>
        <v>33.299999999999997</v>
      </c>
      <c r="AV144" t="s">
        <v>52</v>
      </c>
      <c r="AZ144">
        <f>AU144/207.3</f>
        <v>0.1606367583212735</v>
      </c>
      <c r="BA144" s="20">
        <v>0.15</v>
      </c>
      <c r="BB144" s="20">
        <f>BA144</f>
        <v>0.15</v>
      </c>
    </row>
    <row r="145" spans="4:54" x14ac:dyDescent="0.2">
      <c r="D145">
        <v>316</v>
      </c>
      <c r="F145" s="19">
        <v>7</v>
      </c>
      <c r="G145">
        <v>716</v>
      </c>
      <c r="H145" s="12">
        <f t="shared" ref="H145:H160" si="53">G145*3.412*0.001</f>
        <v>2.4429919999999998</v>
      </c>
      <c r="I145" s="12">
        <f t="shared" si="47"/>
        <v>4.5570079999999997</v>
      </c>
      <c r="J145" s="31"/>
      <c r="K145" s="31"/>
      <c r="L145" s="31"/>
      <c r="N145">
        <f t="shared" ref="N145:N157" si="54">D148</f>
        <v>323</v>
      </c>
      <c r="O145" s="15">
        <f t="shared" si="51"/>
        <v>50.204167999999996</v>
      </c>
      <c r="P145" s="15">
        <f t="shared" si="52"/>
        <v>47.795832000000004</v>
      </c>
      <c r="Z145">
        <f>(8.9+3.9+4.8+1.3)</f>
        <v>18.900000000000002</v>
      </c>
      <c r="AA145" t="s">
        <v>65</v>
      </c>
      <c r="AE145">
        <f>18.9/219.1</f>
        <v>8.6261980830670923E-2</v>
      </c>
      <c r="AF145" s="20">
        <v>0.09</v>
      </c>
      <c r="AG145" s="21">
        <v>0.38</v>
      </c>
      <c r="AH145">
        <f>AF145*Z130</f>
        <v>5.5300723199999995</v>
      </c>
      <c r="AK145" s="28">
        <f t="shared" si="45"/>
        <v>0.05</v>
      </c>
      <c r="AL145" s="28">
        <f t="shared" si="46"/>
        <v>0.34</v>
      </c>
      <c r="AN145" s="29">
        <f t="shared" si="48"/>
        <v>0.35199999999999998</v>
      </c>
      <c r="AP145" s="29">
        <f t="shared" si="49"/>
        <v>0.36399999999999999</v>
      </c>
      <c r="AR145" s="20">
        <f t="shared" si="50"/>
        <v>0.38</v>
      </c>
      <c r="AU145">
        <f>(5+2+2.5+1.6)</f>
        <v>11.1</v>
      </c>
      <c r="AV145" t="s">
        <v>65</v>
      </c>
      <c r="AZ145">
        <f>11.1/207.3</f>
        <v>5.3545586107091168E-2</v>
      </c>
      <c r="BA145" s="20">
        <v>0.05</v>
      </c>
      <c r="BB145" s="21">
        <v>0.34</v>
      </c>
    </row>
    <row r="146" spans="4:54" x14ac:dyDescent="0.2">
      <c r="D146">
        <f>D40</f>
        <v>321</v>
      </c>
      <c r="F146" s="19">
        <v>375</v>
      </c>
      <c r="G146">
        <v>20985</v>
      </c>
      <c r="H146" s="12">
        <f t="shared" si="53"/>
        <v>71.600819999999999</v>
      </c>
      <c r="I146" s="12">
        <f t="shared" ref="I146:I160" si="55">F146-H146</f>
        <v>303.39918</v>
      </c>
      <c r="K146" s="31"/>
      <c r="L146" s="31"/>
      <c r="N146">
        <f t="shared" si="54"/>
        <v>324</v>
      </c>
      <c r="O146" s="15">
        <f t="shared" si="51"/>
        <v>126.878632</v>
      </c>
      <c r="P146" s="15">
        <f t="shared" si="52"/>
        <v>3075.1213680000001</v>
      </c>
      <c r="Z146" s="15">
        <f>4.6+82.2</f>
        <v>86.8</v>
      </c>
      <c r="AA146" t="s">
        <v>64</v>
      </c>
      <c r="AE146">
        <f>86.8/219.1</f>
        <v>0.3961661341853035</v>
      </c>
      <c r="AF146" s="20">
        <v>0.4</v>
      </c>
      <c r="AG146" s="23">
        <v>0.3</v>
      </c>
      <c r="AH146">
        <f>AF146*Z130</f>
        <v>24.5780992</v>
      </c>
      <c r="AK146" s="28">
        <f t="shared" si="45"/>
        <v>0.4</v>
      </c>
      <c r="AL146" s="28">
        <f t="shared" si="46"/>
        <v>0.32</v>
      </c>
      <c r="AN146" s="29">
        <f t="shared" si="48"/>
        <v>0.31399999999999995</v>
      </c>
      <c r="AP146" s="29">
        <f t="shared" si="49"/>
        <v>0.308</v>
      </c>
      <c r="AR146" s="20">
        <f t="shared" si="50"/>
        <v>0.3</v>
      </c>
      <c r="AU146" s="15">
        <f>5+82.9</f>
        <v>87.9</v>
      </c>
      <c r="AV146" t="s">
        <v>64</v>
      </c>
      <c r="AZ146">
        <f>86.8/207.3</f>
        <v>0.41871683550410033</v>
      </c>
      <c r="BA146" s="20">
        <v>0.4</v>
      </c>
      <c r="BB146" s="23">
        <v>0.32</v>
      </c>
    </row>
    <row r="147" spans="4:54" x14ac:dyDescent="0.2">
      <c r="D147">
        <f t="shared" ref="D147:D160" si="56">D41</f>
        <v>322</v>
      </c>
      <c r="F147" s="12">
        <v>2361</v>
      </c>
      <c r="G147">
        <v>65503</v>
      </c>
      <c r="H147" s="12">
        <f t="shared" si="53"/>
        <v>223.49623600000001</v>
      </c>
      <c r="I147" s="12">
        <f t="shared" si="55"/>
        <v>2137.503764</v>
      </c>
      <c r="N147">
        <f t="shared" si="54"/>
        <v>325</v>
      </c>
      <c r="O147" s="15">
        <f t="shared" si="51"/>
        <v>522.39084800000001</v>
      </c>
      <c r="P147" s="15">
        <f t="shared" si="52"/>
        <v>3246.609152</v>
      </c>
      <c r="Z147">
        <f>4.1+15+19.7+4.4+4.8</f>
        <v>47.999999999999993</v>
      </c>
      <c r="AA147" t="s">
        <v>50</v>
      </c>
      <c r="AE147">
        <f>Z147/219.1</f>
        <v>0.21907804655408486</v>
      </c>
      <c r="AF147" s="20">
        <v>0.22</v>
      </c>
      <c r="AG147" s="23">
        <v>0.32</v>
      </c>
      <c r="AH147">
        <f>AF147*Z130</f>
        <v>13.51795456</v>
      </c>
      <c r="AK147" s="28">
        <f t="shared" si="45"/>
        <v>0.22</v>
      </c>
      <c r="AL147" s="28">
        <f t="shared" si="46"/>
        <v>0.34</v>
      </c>
      <c r="AN147" s="29">
        <f t="shared" si="48"/>
        <v>0.33399999999999996</v>
      </c>
      <c r="AP147" s="29">
        <f t="shared" si="49"/>
        <v>0.32800000000000001</v>
      </c>
      <c r="AR147" s="20">
        <f t="shared" si="50"/>
        <v>0.32</v>
      </c>
      <c r="AU147">
        <f>4.8+12.8+15.7+1.4+6</f>
        <v>40.699999999999996</v>
      </c>
      <c r="AV147" t="s">
        <v>50</v>
      </c>
      <c r="AZ147">
        <f>AU147/207.3</f>
        <v>0.19633381572600092</v>
      </c>
      <c r="BA147" s="20">
        <v>0.22</v>
      </c>
      <c r="BB147" s="23">
        <v>0.34</v>
      </c>
    </row>
    <row r="148" spans="4:54" x14ac:dyDescent="0.2">
      <c r="D148">
        <f t="shared" si="56"/>
        <v>323</v>
      </c>
      <c r="F148" s="12">
        <v>98</v>
      </c>
      <c r="G148">
        <v>14714</v>
      </c>
      <c r="H148" s="12">
        <f t="shared" si="53"/>
        <v>50.204167999999996</v>
      </c>
      <c r="I148" s="12">
        <f t="shared" si="55"/>
        <v>47.795832000000004</v>
      </c>
      <c r="N148">
        <f t="shared" si="54"/>
        <v>326</v>
      </c>
      <c r="O148" s="15">
        <f t="shared" si="51"/>
        <v>181.45357199999998</v>
      </c>
      <c r="P148" s="15">
        <f t="shared" si="52"/>
        <v>166.54642800000002</v>
      </c>
      <c r="AB148" t="s">
        <v>51</v>
      </c>
      <c r="AE148">
        <f>SUM(AE143:AE147)</f>
        <v>0.97900502053856697</v>
      </c>
      <c r="AH148">
        <f>SUM(AH143:AH147)</f>
        <v>60.830795520000002</v>
      </c>
      <c r="AK148" s="28">
        <f t="shared" si="45"/>
        <v>0</v>
      </c>
      <c r="AL148" s="28"/>
      <c r="AN148" s="29"/>
      <c r="AP148" s="29"/>
      <c r="AR148" s="20"/>
      <c r="AW148" t="s">
        <v>51</v>
      </c>
      <c r="AZ148">
        <f>SUM(AZ143:AZ147)</f>
        <v>0.97153883260974427</v>
      </c>
    </row>
    <row r="149" spans="4:54" x14ac:dyDescent="0.2">
      <c r="D149">
        <f t="shared" si="56"/>
        <v>324</v>
      </c>
      <c r="F149" s="12">
        <v>3202</v>
      </c>
      <c r="G149">
        <v>37186</v>
      </c>
      <c r="H149" s="12">
        <f t="shared" si="53"/>
        <v>126.878632</v>
      </c>
      <c r="I149" s="12">
        <f t="shared" si="55"/>
        <v>3075.1213680000001</v>
      </c>
      <c r="N149">
        <f t="shared" si="54"/>
        <v>327</v>
      </c>
      <c r="O149" s="15">
        <f t="shared" si="51"/>
        <v>141.23291599999999</v>
      </c>
      <c r="P149" s="15">
        <f t="shared" si="52"/>
        <v>910.76708400000007</v>
      </c>
      <c r="Z149" t="s">
        <v>53</v>
      </c>
      <c r="AE149">
        <f>67.8/1029.6</f>
        <v>6.5850815850815855E-2</v>
      </c>
      <c r="AF149" s="20">
        <v>7.0000000000000007E-2</v>
      </c>
      <c r="AG149" s="20">
        <f>AF149</f>
        <v>7.0000000000000007E-2</v>
      </c>
      <c r="AH149">
        <f>AF149*Z128</f>
        <v>17.11337404</v>
      </c>
      <c r="AK149" s="28">
        <f t="shared" si="45"/>
        <v>7.0000000000000007E-2</v>
      </c>
      <c r="AL149" s="28">
        <f>BB149</f>
        <v>7.0000000000000007E-2</v>
      </c>
      <c r="AN149" s="29">
        <f t="shared" si="48"/>
        <v>7.0000000000000007E-2</v>
      </c>
      <c r="AP149" s="29">
        <f t="shared" si="49"/>
        <v>7.0000000000000007E-2</v>
      </c>
      <c r="AR149" s="20">
        <f t="shared" si="50"/>
        <v>7.0000000000000007E-2</v>
      </c>
      <c r="AU149" t="s">
        <v>87</v>
      </c>
      <c r="AZ149">
        <f>67.8/1029.6</f>
        <v>6.5850815850815855E-2</v>
      </c>
      <c r="BA149" s="20">
        <v>7.0000000000000007E-2</v>
      </c>
      <c r="BB149" s="20">
        <f>BA149</f>
        <v>7.0000000000000007E-2</v>
      </c>
    </row>
    <row r="150" spans="4:54" x14ac:dyDescent="0.2">
      <c r="D150">
        <f t="shared" si="56"/>
        <v>325</v>
      </c>
      <c r="F150" s="12">
        <v>3769</v>
      </c>
      <c r="G150">
        <v>153104</v>
      </c>
      <c r="H150" s="12">
        <f t="shared" si="53"/>
        <v>522.39084800000001</v>
      </c>
      <c r="I150" s="12">
        <f t="shared" si="55"/>
        <v>3246.609152</v>
      </c>
      <c r="N150">
        <f t="shared" si="54"/>
        <v>331</v>
      </c>
      <c r="O150" s="15">
        <f t="shared" si="51"/>
        <v>493.04082399999999</v>
      </c>
      <c r="P150" s="15">
        <f t="shared" si="52"/>
        <v>1629.9591760000001</v>
      </c>
      <c r="Z150">
        <f>7.4+14.3</f>
        <v>21.700000000000003</v>
      </c>
      <c r="AA150" t="s">
        <v>55</v>
      </c>
      <c r="AE150">
        <f>Z150/526.3</f>
        <v>4.1231236937108125E-2</v>
      </c>
      <c r="AF150" s="20">
        <v>0.04</v>
      </c>
      <c r="AG150" s="20">
        <f>AF150</f>
        <v>0.04</v>
      </c>
      <c r="AH150">
        <f>AF150*Z131</f>
        <v>4.3140383999999994</v>
      </c>
      <c r="AK150" s="28">
        <f t="shared" si="45"/>
        <v>0.04</v>
      </c>
      <c r="AL150" s="28">
        <f>BB150</f>
        <v>0.04</v>
      </c>
      <c r="AN150" s="29">
        <f t="shared" si="48"/>
        <v>3.9999999999999994E-2</v>
      </c>
      <c r="AP150" s="29">
        <f t="shared" si="49"/>
        <v>0.04</v>
      </c>
      <c r="AR150" s="20">
        <f t="shared" si="50"/>
        <v>0.04</v>
      </c>
      <c r="AU150">
        <f>4.4+11.9</f>
        <v>16.3</v>
      </c>
      <c r="AV150" t="s">
        <v>55</v>
      </c>
      <c r="AZ150">
        <f>AU150/435</f>
        <v>3.7471264367816094E-2</v>
      </c>
      <c r="BA150" s="20">
        <v>0.04</v>
      </c>
      <c r="BB150" s="20">
        <f>BA150</f>
        <v>0.04</v>
      </c>
    </row>
    <row r="151" spans="4:54" x14ac:dyDescent="0.2">
      <c r="D151">
        <f t="shared" si="56"/>
        <v>326</v>
      </c>
      <c r="F151" s="12">
        <v>348</v>
      </c>
      <c r="G151">
        <v>53181</v>
      </c>
      <c r="H151" s="12">
        <f t="shared" si="53"/>
        <v>181.45357199999998</v>
      </c>
      <c r="I151" s="12">
        <f t="shared" si="55"/>
        <v>166.54642800000002</v>
      </c>
      <c r="N151">
        <f t="shared" si="54"/>
        <v>332</v>
      </c>
      <c r="O151" s="15">
        <f t="shared" si="51"/>
        <v>160.78367600000001</v>
      </c>
      <c r="P151" s="15">
        <f t="shared" si="52"/>
        <v>226.21632399999999</v>
      </c>
      <c r="Z151">
        <f>12.4+29.3+199.8+14.3</f>
        <v>255.8</v>
      </c>
      <c r="AA151" t="s">
        <v>56</v>
      </c>
      <c r="AE151">
        <f>Z151/526.3</f>
        <v>0.48603458103743119</v>
      </c>
      <c r="AF151" s="20">
        <v>0.5</v>
      </c>
      <c r="AG151" s="22">
        <v>0.33</v>
      </c>
      <c r="AH151">
        <f>AF151*Z131</f>
        <v>53.925479999999993</v>
      </c>
      <c r="AK151" s="28">
        <f t="shared" si="45"/>
        <v>0.42</v>
      </c>
      <c r="AL151" s="28">
        <f>BB151</f>
        <v>0.28000000000000003</v>
      </c>
      <c r="AN151" s="29">
        <f t="shared" si="48"/>
        <v>0.29500000000000004</v>
      </c>
      <c r="AP151" s="29">
        <f t="shared" si="49"/>
        <v>0.31000000000000005</v>
      </c>
      <c r="AR151" s="20">
        <f t="shared" si="50"/>
        <v>0.33</v>
      </c>
      <c r="AU151">
        <f>11.2+27.6+138.7+6.9</f>
        <v>184.4</v>
      </c>
      <c r="AV151" t="s">
        <v>88</v>
      </c>
      <c r="AZ151">
        <f>AU151/435</f>
        <v>0.42390804597701148</v>
      </c>
      <c r="BA151" s="20">
        <v>0.42</v>
      </c>
      <c r="BB151" s="22">
        <v>0.28000000000000003</v>
      </c>
    </row>
    <row r="152" spans="4:54" x14ac:dyDescent="0.2">
      <c r="D152">
        <f t="shared" si="56"/>
        <v>327</v>
      </c>
      <c r="F152" s="12">
        <v>1052</v>
      </c>
      <c r="G152">
        <v>41393</v>
      </c>
      <c r="H152" s="12">
        <f t="shared" si="53"/>
        <v>141.23291599999999</v>
      </c>
      <c r="I152" s="12">
        <f t="shared" si="55"/>
        <v>910.76708400000007</v>
      </c>
      <c r="N152">
        <f t="shared" si="54"/>
        <v>333</v>
      </c>
      <c r="O152" s="15">
        <f t="shared" si="51"/>
        <v>83.808955999999995</v>
      </c>
      <c r="P152" s="15">
        <f t="shared" si="52"/>
        <v>91.191044000000005</v>
      </c>
      <c r="AK152" s="28"/>
      <c r="AL152" s="28"/>
      <c r="AN152" s="29"/>
      <c r="AP152" s="29"/>
      <c r="AR152" s="20"/>
    </row>
    <row r="153" spans="4:54" x14ac:dyDescent="0.2">
      <c r="D153">
        <f t="shared" si="56"/>
        <v>331</v>
      </c>
      <c r="F153" s="12">
        <v>2123</v>
      </c>
      <c r="G153">
        <v>144502</v>
      </c>
      <c r="H153" s="12">
        <f t="shared" si="53"/>
        <v>493.04082399999999</v>
      </c>
      <c r="I153" s="12">
        <f t="shared" si="55"/>
        <v>1629.9591760000001</v>
      </c>
      <c r="N153">
        <f t="shared" si="54"/>
        <v>334</v>
      </c>
      <c r="O153" s="15">
        <f t="shared" si="51"/>
        <v>130.857024</v>
      </c>
      <c r="P153" s="15">
        <f t="shared" si="52"/>
        <v>69.142976000000004</v>
      </c>
      <c r="Z153" t="s">
        <v>79</v>
      </c>
      <c r="AF153" s="20">
        <v>0.38</v>
      </c>
      <c r="AG153" s="20">
        <f>AF153</f>
        <v>0.38</v>
      </c>
      <c r="AK153" s="28">
        <f>BA153</f>
        <v>0.34</v>
      </c>
      <c r="AL153" s="28">
        <f>BB153</f>
        <v>0.34</v>
      </c>
      <c r="AN153" s="29">
        <f t="shared" si="48"/>
        <v>0.35199999999999998</v>
      </c>
      <c r="AP153" s="29">
        <f t="shared" si="49"/>
        <v>0.36399999999999999</v>
      </c>
      <c r="AR153" s="20">
        <f t="shared" si="50"/>
        <v>0.38</v>
      </c>
      <c r="AU153" t="s">
        <v>79</v>
      </c>
      <c r="BA153" s="20">
        <v>0.34</v>
      </c>
      <c r="BB153" s="20">
        <f>BA153</f>
        <v>0.34</v>
      </c>
    </row>
    <row r="154" spans="4:54" x14ac:dyDescent="0.2">
      <c r="D154">
        <f t="shared" si="56"/>
        <v>332</v>
      </c>
      <c r="F154" s="12">
        <v>387</v>
      </c>
      <c r="G154">
        <v>47123</v>
      </c>
      <c r="H154" s="12">
        <f t="shared" si="53"/>
        <v>160.78367600000001</v>
      </c>
      <c r="I154" s="12">
        <f t="shared" si="55"/>
        <v>226.21632399999999</v>
      </c>
      <c r="N154">
        <f t="shared" si="54"/>
        <v>335</v>
      </c>
      <c r="O154" s="15">
        <f t="shared" si="51"/>
        <v>47.430211999999997</v>
      </c>
      <c r="P154" s="15">
        <f t="shared" si="52"/>
        <v>55.569788000000003</v>
      </c>
    </row>
    <row r="155" spans="4:54" x14ac:dyDescent="0.2">
      <c r="D155">
        <f t="shared" si="56"/>
        <v>333</v>
      </c>
      <c r="F155" s="12">
        <v>175</v>
      </c>
      <c r="G155">
        <v>24563</v>
      </c>
      <c r="H155" s="12">
        <f t="shared" si="53"/>
        <v>83.808955999999995</v>
      </c>
      <c r="I155" s="12">
        <f t="shared" si="55"/>
        <v>91.191044000000005</v>
      </c>
      <c r="N155">
        <f t="shared" si="54"/>
        <v>336</v>
      </c>
      <c r="O155" s="15">
        <f t="shared" si="51"/>
        <v>172.33329600000002</v>
      </c>
      <c r="P155" s="15">
        <f t="shared" si="52"/>
        <v>251.66670399999998</v>
      </c>
    </row>
    <row r="156" spans="4:54" x14ac:dyDescent="0.2">
      <c r="D156">
        <f t="shared" si="56"/>
        <v>334</v>
      </c>
      <c r="E156" s="31"/>
      <c r="F156" s="12">
        <v>200</v>
      </c>
      <c r="G156">
        <v>38352</v>
      </c>
      <c r="H156" s="12">
        <f t="shared" si="53"/>
        <v>130.857024</v>
      </c>
      <c r="I156" s="12">
        <f t="shared" si="55"/>
        <v>69.142976000000004</v>
      </c>
      <c r="N156">
        <f t="shared" si="54"/>
        <v>337</v>
      </c>
      <c r="O156" s="15">
        <f t="shared" si="51"/>
        <v>24.095544</v>
      </c>
      <c r="P156" s="15">
        <f t="shared" si="52"/>
        <v>38.904455999999996</v>
      </c>
      <c r="AG156" s="20">
        <f>AG146+AG147+AG153</f>
        <v>1</v>
      </c>
    </row>
    <row r="157" spans="4:54" x14ac:dyDescent="0.2">
      <c r="D157">
        <f t="shared" si="56"/>
        <v>335</v>
      </c>
      <c r="F157">
        <v>103</v>
      </c>
      <c r="G157">
        <v>13901</v>
      </c>
      <c r="H157" s="12">
        <f t="shared" si="53"/>
        <v>47.430211999999997</v>
      </c>
      <c r="I157" s="12">
        <f t="shared" si="55"/>
        <v>55.569788000000003</v>
      </c>
      <c r="N157">
        <f t="shared" si="54"/>
        <v>339</v>
      </c>
      <c r="O157" s="15">
        <f t="shared" si="51"/>
        <v>35.396087999999999</v>
      </c>
      <c r="P157" s="15">
        <f t="shared" si="52"/>
        <v>35.603912000000001</v>
      </c>
    </row>
    <row r="158" spans="4:54" x14ac:dyDescent="0.2">
      <c r="D158">
        <f t="shared" si="56"/>
        <v>336</v>
      </c>
      <c r="F158" s="12">
        <v>424</v>
      </c>
      <c r="G158">
        <v>50508</v>
      </c>
      <c r="H158" s="12">
        <f t="shared" si="53"/>
        <v>172.33329600000002</v>
      </c>
      <c r="I158" s="12">
        <f t="shared" si="55"/>
        <v>251.66670399999998</v>
      </c>
      <c r="O158" s="15">
        <f>SUM(O140:O157)</f>
        <v>2839.3586319999999</v>
      </c>
      <c r="P158" s="15">
        <f>SUM(P140:P157)</f>
        <v>13433.641368000002</v>
      </c>
    </row>
    <row r="159" spans="4:54" x14ac:dyDescent="0.2">
      <c r="D159">
        <f t="shared" si="56"/>
        <v>337</v>
      </c>
      <c r="F159" s="12">
        <v>63</v>
      </c>
      <c r="G159">
        <v>7062</v>
      </c>
      <c r="H159" s="12">
        <f t="shared" si="53"/>
        <v>24.095544</v>
      </c>
      <c r="I159" s="12">
        <f t="shared" si="55"/>
        <v>38.904455999999996</v>
      </c>
    </row>
    <row r="160" spans="4:54" x14ac:dyDescent="0.2">
      <c r="D160">
        <f t="shared" si="56"/>
        <v>339</v>
      </c>
      <c r="F160" s="33">
        <v>71</v>
      </c>
      <c r="G160" s="34">
        <v>10374</v>
      </c>
      <c r="H160" s="33">
        <f t="shared" si="53"/>
        <v>35.396087999999999</v>
      </c>
      <c r="I160" s="33">
        <f t="shared" si="55"/>
        <v>35.603912000000001</v>
      </c>
    </row>
    <row r="161" spans="4:16" x14ac:dyDescent="0.2">
      <c r="F161" s="15">
        <f>SUM(F140:F160)</f>
        <v>16273</v>
      </c>
      <c r="G161" s="15">
        <f>SUM(G140:G160)</f>
        <v>832061</v>
      </c>
      <c r="H161" s="15">
        <f>SUM(H140:H160)</f>
        <v>2839.3586319999999</v>
      </c>
      <c r="I161" s="15">
        <f>SUM(I140:I160)</f>
        <v>13433.641368000002</v>
      </c>
    </row>
    <row r="164" spans="4:16" x14ac:dyDescent="0.2">
      <c r="D164">
        <v>2006</v>
      </c>
      <c r="E164" t="s">
        <v>38</v>
      </c>
      <c r="F164" t="s">
        <v>95</v>
      </c>
      <c r="H164" t="s">
        <v>96</v>
      </c>
      <c r="J164" s="31"/>
      <c r="K164" s="31"/>
      <c r="L164" s="31"/>
      <c r="N164" t="s">
        <v>94</v>
      </c>
    </row>
    <row r="165" spans="4:16" ht="34.5" thickBot="1" x14ac:dyDescent="0.25">
      <c r="F165" s="10" t="s">
        <v>33</v>
      </c>
      <c r="G165" s="11" t="s">
        <v>34</v>
      </c>
      <c r="H165" s="11" t="s">
        <v>35</v>
      </c>
      <c r="I165" s="11" t="s">
        <v>36</v>
      </c>
      <c r="J165" s="32"/>
      <c r="K165" s="32"/>
      <c r="L165" s="32"/>
      <c r="O165" s="17" t="s">
        <v>35</v>
      </c>
      <c r="P165" s="17" t="s">
        <v>36</v>
      </c>
    </row>
    <row r="166" spans="4:16" x14ac:dyDescent="0.2">
      <c r="D166" s="2">
        <v>311</v>
      </c>
      <c r="F166" s="12">
        <v>1186</v>
      </c>
      <c r="G166" s="12">
        <v>73440</v>
      </c>
      <c r="H166" s="12">
        <f>G166*3.412*0.001</f>
        <v>250.57728</v>
      </c>
      <c r="I166" s="12">
        <f t="shared" ref="I166:I171" si="57">F166-H166</f>
        <v>935.42272000000003</v>
      </c>
      <c r="J166" s="19"/>
      <c r="K166" s="19"/>
      <c r="L166" s="19"/>
      <c r="N166" t="s">
        <v>12</v>
      </c>
      <c r="O166" s="15">
        <f>H166+H167</f>
        <v>280.80077599999998</v>
      </c>
      <c r="P166" s="15">
        <f>I166+I167</f>
        <v>1014.1992240000001</v>
      </c>
    </row>
    <row r="167" spans="4:16" x14ac:dyDescent="0.2">
      <c r="D167" s="2">
        <v>312</v>
      </c>
      <c r="F167" s="19">
        <v>109</v>
      </c>
      <c r="G167" s="12">
        <v>8858</v>
      </c>
      <c r="H167" s="12">
        <f>G167*3.412*0.001</f>
        <v>30.223496000000001</v>
      </c>
      <c r="I167" s="12">
        <f t="shared" si="57"/>
        <v>78.776504000000003</v>
      </c>
      <c r="J167" s="19"/>
      <c r="K167" s="19"/>
      <c r="L167" s="19"/>
      <c r="N167" t="s">
        <v>13</v>
      </c>
      <c r="O167" s="15">
        <f>H168+H169</f>
        <v>85.592287999999996</v>
      </c>
      <c r="P167" s="15">
        <f>I168+I169</f>
        <v>164.407712</v>
      </c>
    </row>
    <row r="168" spans="4:16" x14ac:dyDescent="0.2">
      <c r="D168" s="2">
        <v>313</v>
      </c>
      <c r="F168" s="12">
        <v>178</v>
      </c>
      <c r="G168" s="12">
        <v>19224</v>
      </c>
      <c r="H168" s="12">
        <f>G168*3.412*0.001</f>
        <v>65.592287999999996</v>
      </c>
      <c r="I168" s="12">
        <f t="shared" si="57"/>
        <v>112.407712</v>
      </c>
      <c r="J168" s="19"/>
      <c r="K168" s="19"/>
      <c r="L168" s="19"/>
      <c r="N168" t="s">
        <v>14</v>
      </c>
      <c r="O168" s="15">
        <f>H170+H171</f>
        <v>8.2775119999999998</v>
      </c>
      <c r="P168" s="15">
        <f>I170+I171</f>
        <v>8.7224880000000002</v>
      </c>
    </row>
    <row r="169" spans="4:16" x14ac:dyDescent="0.2">
      <c r="D169">
        <v>314</v>
      </c>
      <c r="F169" s="12">
        <v>72</v>
      </c>
      <c r="G169" s="12">
        <v>5920</v>
      </c>
      <c r="H169">
        <v>20</v>
      </c>
      <c r="I169" s="12">
        <f t="shared" si="57"/>
        <v>52</v>
      </c>
      <c r="J169" s="31"/>
      <c r="K169" s="31"/>
      <c r="L169" s="31"/>
      <c r="N169">
        <v>321</v>
      </c>
      <c r="O169" s="15">
        <f t="shared" ref="O169:O183" si="58">H172</f>
        <v>91.178876000000002</v>
      </c>
      <c r="P169" s="15">
        <f t="shared" ref="P169:P183" si="59">I172</f>
        <v>353.821124</v>
      </c>
    </row>
    <row r="170" spans="4:16" x14ac:dyDescent="0.2">
      <c r="D170">
        <v>315</v>
      </c>
      <c r="F170">
        <v>14</v>
      </c>
      <c r="G170">
        <v>2013</v>
      </c>
      <c r="H170" s="12">
        <f>G170*3.412*0.001</f>
        <v>6.8683560000000003</v>
      </c>
      <c r="I170" s="12">
        <f t="shared" si="57"/>
        <v>7.1316439999999997</v>
      </c>
      <c r="J170" s="19"/>
      <c r="K170" s="19"/>
      <c r="L170" s="19"/>
      <c r="N170">
        <f>D173</f>
        <v>322</v>
      </c>
      <c r="O170" s="15">
        <f t="shared" si="58"/>
        <v>247.43141600000001</v>
      </c>
      <c r="P170" s="15">
        <f t="shared" si="59"/>
        <v>2106.5685840000001</v>
      </c>
    </row>
    <row r="171" spans="4:16" x14ac:dyDescent="0.2">
      <c r="D171">
        <v>316</v>
      </c>
      <c r="F171" s="19">
        <v>3</v>
      </c>
      <c r="G171">
        <v>413</v>
      </c>
      <c r="H171" s="12">
        <f t="shared" ref="H171:H186" si="60">G171*3.412*0.001</f>
        <v>1.4091560000000001</v>
      </c>
      <c r="I171" s="12">
        <f t="shared" si="57"/>
        <v>1.5908439999999999</v>
      </c>
      <c r="J171" s="31"/>
      <c r="K171" s="31"/>
      <c r="L171" s="31"/>
      <c r="N171">
        <f t="shared" ref="N171:N183" si="61">D174</f>
        <v>323</v>
      </c>
      <c r="O171" s="15">
        <f t="shared" si="58"/>
        <v>44.625548000000002</v>
      </c>
      <c r="P171" s="15">
        <f t="shared" si="59"/>
        <v>40.374451999999998</v>
      </c>
    </row>
    <row r="172" spans="4:16" x14ac:dyDescent="0.2">
      <c r="D172">
        <f>D66</f>
        <v>321</v>
      </c>
      <c r="F172" s="19">
        <v>445</v>
      </c>
      <c r="G172">
        <v>26723</v>
      </c>
      <c r="H172" s="12">
        <f t="shared" si="60"/>
        <v>91.178876000000002</v>
      </c>
      <c r="I172" s="12">
        <f t="shared" ref="I172:I186" si="62">F172-H172</f>
        <v>353.821124</v>
      </c>
      <c r="N172">
        <f t="shared" si="61"/>
        <v>324</v>
      </c>
      <c r="O172" s="15">
        <f t="shared" si="58"/>
        <v>136.937208</v>
      </c>
      <c r="P172" s="15">
        <f t="shared" si="59"/>
        <v>3259.0627920000002</v>
      </c>
    </row>
    <row r="173" spans="4:16" x14ac:dyDescent="0.2">
      <c r="D173">
        <f t="shared" ref="D173:D186" si="63">D67</f>
        <v>322</v>
      </c>
      <c r="F173" s="12">
        <v>2354</v>
      </c>
      <c r="G173">
        <v>72518</v>
      </c>
      <c r="H173" s="12">
        <f t="shared" si="60"/>
        <v>247.43141600000001</v>
      </c>
      <c r="I173" s="12">
        <f t="shared" si="62"/>
        <v>2106.5685840000001</v>
      </c>
      <c r="N173">
        <f t="shared" si="61"/>
        <v>325</v>
      </c>
      <c r="O173" s="15">
        <f t="shared" si="58"/>
        <v>517.24214000000006</v>
      </c>
      <c r="P173" s="15">
        <f t="shared" si="59"/>
        <v>2677.7578599999997</v>
      </c>
    </row>
    <row r="174" spans="4:16" x14ac:dyDescent="0.2">
      <c r="D174">
        <f t="shared" si="63"/>
        <v>323</v>
      </c>
      <c r="F174" s="12">
        <v>85</v>
      </c>
      <c r="G174">
        <v>13079</v>
      </c>
      <c r="H174" s="12">
        <f t="shared" si="60"/>
        <v>44.625548000000002</v>
      </c>
      <c r="I174" s="12">
        <f t="shared" si="62"/>
        <v>40.374451999999998</v>
      </c>
      <c r="N174">
        <f t="shared" si="61"/>
        <v>326</v>
      </c>
      <c r="O174" s="15">
        <f t="shared" si="58"/>
        <v>182.214448</v>
      </c>
      <c r="P174" s="15">
        <f t="shared" si="59"/>
        <v>153.785552</v>
      </c>
    </row>
    <row r="175" spans="4:16" x14ac:dyDescent="0.2">
      <c r="D175">
        <f t="shared" si="63"/>
        <v>324</v>
      </c>
      <c r="F175" s="12">
        <v>3396</v>
      </c>
      <c r="G175">
        <v>40134</v>
      </c>
      <c r="H175" s="12">
        <f t="shared" si="60"/>
        <v>136.937208</v>
      </c>
      <c r="I175" s="12">
        <f t="shared" si="62"/>
        <v>3259.0627920000002</v>
      </c>
      <c r="N175">
        <f t="shared" si="61"/>
        <v>327</v>
      </c>
      <c r="O175" s="15">
        <f t="shared" si="58"/>
        <v>146.63411199999999</v>
      </c>
      <c r="P175" s="15">
        <f t="shared" si="59"/>
        <v>958.36588800000004</v>
      </c>
    </row>
    <row r="176" spans="4:16" x14ac:dyDescent="0.2">
      <c r="D176">
        <f t="shared" si="63"/>
        <v>325</v>
      </c>
      <c r="F176" s="12">
        <v>3195</v>
      </c>
      <c r="G176">
        <v>151595</v>
      </c>
      <c r="H176" s="12">
        <f t="shared" si="60"/>
        <v>517.24214000000006</v>
      </c>
      <c r="I176" s="12">
        <f t="shared" si="62"/>
        <v>2677.7578599999997</v>
      </c>
      <c r="N176">
        <f t="shared" si="61"/>
        <v>331</v>
      </c>
      <c r="O176" s="15">
        <f t="shared" si="58"/>
        <v>458.31689999999998</v>
      </c>
      <c r="P176" s="15">
        <f t="shared" si="59"/>
        <v>1285.6831</v>
      </c>
    </row>
    <row r="177" spans="4:16" x14ac:dyDescent="0.2">
      <c r="D177">
        <f t="shared" si="63"/>
        <v>326</v>
      </c>
      <c r="F177" s="12">
        <v>336</v>
      </c>
      <c r="G177">
        <v>53404</v>
      </c>
      <c r="H177" s="12">
        <f t="shared" si="60"/>
        <v>182.214448</v>
      </c>
      <c r="I177" s="12">
        <f t="shared" si="62"/>
        <v>153.785552</v>
      </c>
      <c r="N177">
        <f t="shared" si="61"/>
        <v>332</v>
      </c>
      <c r="O177" s="15">
        <f t="shared" si="58"/>
        <v>143.18457999999998</v>
      </c>
      <c r="P177" s="15">
        <f t="shared" si="59"/>
        <v>253.81542000000002</v>
      </c>
    </row>
    <row r="178" spans="4:16" x14ac:dyDescent="0.2">
      <c r="D178">
        <f t="shared" si="63"/>
        <v>327</v>
      </c>
      <c r="F178" s="12">
        <v>1105</v>
      </c>
      <c r="G178">
        <v>42976</v>
      </c>
      <c r="H178" s="12">
        <f t="shared" si="60"/>
        <v>146.63411199999999</v>
      </c>
      <c r="I178" s="12">
        <f t="shared" si="62"/>
        <v>958.36588800000004</v>
      </c>
      <c r="N178">
        <f t="shared" si="61"/>
        <v>333</v>
      </c>
      <c r="O178" s="15">
        <f t="shared" si="58"/>
        <v>110.528328</v>
      </c>
      <c r="P178" s="15">
        <f t="shared" si="59"/>
        <v>93.471671999999998</v>
      </c>
    </row>
    <row r="179" spans="4:16" x14ac:dyDescent="0.2">
      <c r="D179">
        <f t="shared" si="63"/>
        <v>331</v>
      </c>
      <c r="F179" s="12">
        <v>1744</v>
      </c>
      <c r="G179">
        <v>134325</v>
      </c>
      <c r="H179" s="12">
        <f t="shared" si="60"/>
        <v>458.31689999999998</v>
      </c>
      <c r="I179" s="12">
        <f t="shared" si="62"/>
        <v>1285.6831</v>
      </c>
      <c r="N179">
        <f t="shared" si="61"/>
        <v>334</v>
      </c>
      <c r="O179" s="15">
        <f t="shared" si="58"/>
        <v>93.860708000000002</v>
      </c>
      <c r="P179" s="15">
        <f t="shared" si="59"/>
        <v>47.139291999999998</v>
      </c>
    </row>
    <row r="180" spans="4:16" x14ac:dyDescent="0.2">
      <c r="D180">
        <f t="shared" si="63"/>
        <v>332</v>
      </c>
      <c r="F180" s="12">
        <v>397</v>
      </c>
      <c r="G180">
        <v>41965</v>
      </c>
      <c r="H180" s="12">
        <f t="shared" si="60"/>
        <v>143.18457999999998</v>
      </c>
      <c r="I180" s="12">
        <f t="shared" si="62"/>
        <v>253.81542000000002</v>
      </c>
      <c r="N180">
        <f t="shared" si="61"/>
        <v>335</v>
      </c>
      <c r="O180" s="15">
        <f t="shared" si="58"/>
        <v>43.902203999999998</v>
      </c>
      <c r="P180" s="15">
        <f t="shared" si="59"/>
        <v>43.097796000000002</v>
      </c>
    </row>
    <row r="181" spans="4:16" x14ac:dyDescent="0.2">
      <c r="D181">
        <f t="shared" si="63"/>
        <v>333</v>
      </c>
      <c r="F181" s="12">
        <v>204</v>
      </c>
      <c r="G181">
        <v>32394</v>
      </c>
      <c r="H181" s="12">
        <f t="shared" si="60"/>
        <v>110.528328</v>
      </c>
      <c r="I181" s="12">
        <f t="shared" si="62"/>
        <v>93.471671999999998</v>
      </c>
      <c r="N181">
        <f t="shared" si="61"/>
        <v>336</v>
      </c>
      <c r="O181" s="15">
        <f t="shared" si="58"/>
        <v>195.06062800000001</v>
      </c>
      <c r="P181" s="15">
        <f t="shared" si="59"/>
        <v>283.93937199999999</v>
      </c>
    </row>
    <row r="182" spans="4:16" x14ac:dyDescent="0.2">
      <c r="D182">
        <f t="shared" si="63"/>
        <v>334</v>
      </c>
      <c r="E182" s="3"/>
      <c r="F182" s="12">
        <v>141</v>
      </c>
      <c r="G182">
        <v>27509</v>
      </c>
      <c r="H182" s="12">
        <f t="shared" si="60"/>
        <v>93.860708000000002</v>
      </c>
      <c r="I182" s="12">
        <f t="shared" si="62"/>
        <v>47.139291999999998</v>
      </c>
      <c r="N182">
        <f t="shared" si="61"/>
        <v>337</v>
      </c>
      <c r="O182" s="15">
        <f t="shared" si="58"/>
        <v>31.608768000000001</v>
      </c>
      <c r="P182" s="15">
        <f t="shared" si="59"/>
        <v>28.391231999999999</v>
      </c>
    </row>
    <row r="183" spans="4:16" x14ac:dyDescent="0.2">
      <c r="D183">
        <f t="shared" si="63"/>
        <v>335</v>
      </c>
      <c r="F183">
        <v>87</v>
      </c>
      <c r="G183">
        <v>12867</v>
      </c>
      <c r="H183" s="12">
        <f t="shared" si="60"/>
        <v>43.902203999999998</v>
      </c>
      <c r="I183" s="12">
        <f t="shared" si="62"/>
        <v>43.097796000000002</v>
      </c>
      <c r="N183">
        <f t="shared" si="61"/>
        <v>339</v>
      </c>
      <c r="O183" s="15">
        <f t="shared" si="58"/>
        <v>33.017924000000001</v>
      </c>
      <c r="P183" s="15">
        <f t="shared" si="59"/>
        <v>32.982075999999999</v>
      </c>
    </row>
    <row r="184" spans="4:16" x14ac:dyDescent="0.2">
      <c r="D184">
        <f t="shared" si="63"/>
        <v>336</v>
      </c>
      <c r="F184" s="12">
        <v>479</v>
      </c>
      <c r="G184">
        <v>57169</v>
      </c>
      <c r="H184" s="12">
        <f t="shared" si="60"/>
        <v>195.06062800000001</v>
      </c>
      <c r="I184" s="12">
        <f t="shared" si="62"/>
        <v>283.93937199999999</v>
      </c>
      <c r="O184" s="15">
        <f>SUM(O166:O183)</f>
        <v>2850.4143640000007</v>
      </c>
      <c r="P184" s="15">
        <f>SUM(P166:P183)</f>
        <v>12805.585636000002</v>
      </c>
    </row>
    <row r="185" spans="4:16" x14ac:dyDescent="0.2">
      <c r="D185">
        <f t="shared" si="63"/>
        <v>337</v>
      </c>
      <c r="F185" s="12">
        <v>60</v>
      </c>
      <c r="G185">
        <v>9264</v>
      </c>
      <c r="H185" s="12">
        <f t="shared" si="60"/>
        <v>31.608768000000001</v>
      </c>
      <c r="I185" s="12">
        <f t="shared" si="62"/>
        <v>28.391231999999999</v>
      </c>
    </row>
    <row r="186" spans="4:16" x14ac:dyDescent="0.2">
      <c r="D186">
        <f t="shared" si="63"/>
        <v>339</v>
      </c>
      <c r="F186" s="33">
        <v>66</v>
      </c>
      <c r="G186" s="34">
        <v>9677</v>
      </c>
      <c r="H186" s="33">
        <f t="shared" si="60"/>
        <v>33.017924000000001</v>
      </c>
      <c r="I186" s="33">
        <f t="shared" si="62"/>
        <v>32.982075999999999</v>
      </c>
    </row>
    <row r="187" spans="4:16" x14ac:dyDescent="0.2">
      <c r="F187" s="15">
        <f>SUM(F166:F186)</f>
        <v>15656</v>
      </c>
      <c r="G187" s="15">
        <f>SUM(G166:G186)</f>
        <v>835467</v>
      </c>
      <c r="H187" s="15">
        <f>SUM(H166:H186)</f>
        <v>2850.4143640000007</v>
      </c>
      <c r="I187" s="15">
        <f>SUM(I166:I186)</f>
        <v>12805.585636000002</v>
      </c>
    </row>
    <row r="188" spans="4:16" x14ac:dyDescent="0.2">
      <c r="F188" s="15"/>
      <c r="G188" s="15"/>
      <c r="H188" s="15"/>
      <c r="I188" s="15"/>
    </row>
    <row r="189" spans="4:16" x14ac:dyDescent="0.2">
      <c r="F189" s="15"/>
      <c r="G189" s="15"/>
      <c r="H189" s="15"/>
      <c r="I189" s="15"/>
    </row>
    <row r="190" spans="4:16" x14ac:dyDescent="0.2">
      <c r="D190">
        <v>2010</v>
      </c>
      <c r="E190" t="s">
        <v>38</v>
      </c>
      <c r="F190" t="s">
        <v>95</v>
      </c>
      <c r="H190" t="s">
        <v>96</v>
      </c>
      <c r="J190" s="31"/>
      <c r="K190" s="31"/>
      <c r="L190" s="31"/>
      <c r="N190" t="s">
        <v>94</v>
      </c>
    </row>
    <row r="191" spans="4:16" ht="34.5" thickBot="1" x14ac:dyDescent="0.25">
      <c r="F191" s="10" t="s">
        <v>33</v>
      </c>
      <c r="G191" s="11" t="s">
        <v>34</v>
      </c>
      <c r="H191" s="11" t="s">
        <v>35</v>
      </c>
      <c r="I191" s="11" t="s">
        <v>36</v>
      </c>
      <c r="J191" s="32"/>
      <c r="K191" s="32"/>
      <c r="L191" s="32"/>
      <c r="O191" s="17" t="s">
        <v>35</v>
      </c>
      <c r="P191" s="17" t="s">
        <v>36</v>
      </c>
    </row>
    <row r="192" spans="4:16" x14ac:dyDescent="0.2">
      <c r="D192" s="2">
        <v>311</v>
      </c>
      <c r="F192" s="12">
        <v>1158</v>
      </c>
      <c r="G192" s="12">
        <v>73440</v>
      </c>
      <c r="H192" s="12">
        <v>257</v>
      </c>
      <c r="I192" s="12">
        <f t="shared" ref="I192:I197" si="64">F192-H192</f>
        <v>901</v>
      </c>
      <c r="J192" s="19"/>
      <c r="K192" s="19"/>
      <c r="L192" s="19"/>
      <c r="N192" t="s">
        <v>12</v>
      </c>
      <c r="O192" s="15">
        <f>H192+H193</f>
        <v>286</v>
      </c>
      <c r="P192" s="15">
        <f>I192+I193</f>
        <v>958</v>
      </c>
    </row>
    <row r="193" spans="4:16" x14ac:dyDescent="0.2">
      <c r="D193" s="2">
        <v>312</v>
      </c>
      <c r="F193" s="19">
        <v>86</v>
      </c>
      <c r="G193" s="12">
        <v>8858</v>
      </c>
      <c r="H193" s="12">
        <v>29</v>
      </c>
      <c r="I193" s="12">
        <f t="shared" si="64"/>
        <v>57</v>
      </c>
      <c r="J193" s="19"/>
      <c r="K193" s="19"/>
      <c r="L193" s="19"/>
      <c r="N193" t="s">
        <v>13</v>
      </c>
      <c r="O193" s="15">
        <f>H194+H195</f>
        <v>53</v>
      </c>
      <c r="P193" s="15">
        <f>I194+I195</f>
        <v>62</v>
      </c>
    </row>
    <row r="194" spans="4:16" x14ac:dyDescent="0.2">
      <c r="D194" s="2">
        <v>313</v>
      </c>
      <c r="F194" s="12">
        <v>95</v>
      </c>
      <c r="G194" s="12">
        <v>19224</v>
      </c>
      <c r="H194" s="12">
        <v>45</v>
      </c>
      <c r="I194" s="12">
        <f t="shared" si="64"/>
        <v>50</v>
      </c>
      <c r="J194" s="19"/>
      <c r="K194" s="19"/>
      <c r="L194" s="19"/>
      <c r="N194" t="s">
        <v>14</v>
      </c>
      <c r="O194" s="15">
        <f>H196+H197</f>
        <v>5</v>
      </c>
      <c r="P194" s="15">
        <f>I196+I197</f>
        <v>3</v>
      </c>
    </row>
    <row r="195" spans="4:16" x14ac:dyDescent="0.2">
      <c r="D195">
        <v>314</v>
      </c>
      <c r="F195" s="12">
        <v>20</v>
      </c>
      <c r="G195" s="12">
        <v>5920</v>
      </c>
      <c r="H195" s="12">
        <v>8</v>
      </c>
      <c r="I195" s="12">
        <f t="shared" si="64"/>
        <v>12</v>
      </c>
      <c r="J195" s="31"/>
      <c r="K195" s="31"/>
      <c r="L195" s="31"/>
      <c r="N195">
        <v>321</v>
      </c>
      <c r="O195" s="15">
        <f t="shared" ref="O195:O209" si="65">H198</f>
        <v>52</v>
      </c>
      <c r="P195" s="15">
        <f t="shared" ref="P195:P209" si="66">I198</f>
        <v>418</v>
      </c>
    </row>
    <row r="196" spans="4:16" x14ac:dyDescent="0.2">
      <c r="D196">
        <v>315</v>
      </c>
      <c r="F196">
        <v>6</v>
      </c>
      <c r="G196">
        <v>2013</v>
      </c>
      <c r="H196" s="12">
        <v>4</v>
      </c>
      <c r="I196" s="12">
        <f t="shared" si="64"/>
        <v>2</v>
      </c>
      <c r="J196" s="19"/>
      <c r="K196" s="19"/>
      <c r="L196" s="19"/>
      <c r="N196">
        <f>D199</f>
        <v>322</v>
      </c>
      <c r="O196" s="15">
        <f t="shared" si="65"/>
        <v>206</v>
      </c>
      <c r="P196" s="15">
        <f t="shared" si="66"/>
        <v>1904</v>
      </c>
    </row>
    <row r="197" spans="4:16" x14ac:dyDescent="0.2">
      <c r="D197">
        <v>316</v>
      </c>
      <c r="F197" s="19">
        <v>2</v>
      </c>
      <c r="G197">
        <v>413</v>
      </c>
      <c r="H197" s="12">
        <v>1</v>
      </c>
      <c r="I197" s="12">
        <f t="shared" si="64"/>
        <v>1</v>
      </c>
      <c r="J197" s="31"/>
      <c r="K197" s="31"/>
      <c r="L197" s="31"/>
      <c r="N197">
        <f t="shared" ref="N197:N209" si="67">D200</f>
        <v>323</v>
      </c>
      <c r="O197" s="15">
        <f t="shared" si="65"/>
        <v>47</v>
      </c>
      <c r="P197" s="15">
        <f t="shared" si="66"/>
        <v>36</v>
      </c>
    </row>
    <row r="198" spans="4:16" x14ac:dyDescent="0.2">
      <c r="D198">
        <f t="shared" ref="D198:D212" si="68">D92</f>
        <v>321</v>
      </c>
      <c r="F198" s="19">
        <v>470</v>
      </c>
      <c r="G198">
        <v>26723</v>
      </c>
      <c r="H198" s="12">
        <v>52</v>
      </c>
      <c r="I198" s="12">
        <f t="shared" ref="I198:I212" si="69">F198-H198</f>
        <v>418</v>
      </c>
      <c r="N198">
        <f t="shared" si="67"/>
        <v>324</v>
      </c>
      <c r="O198" s="15">
        <f t="shared" si="65"/>
        <v>160</v>
      </c>
      <c r="P198" s="15">
        <f t="shared" si="66"/>
        <v>3159</v>
      </c>
    </row>
    <row r="199" spans="4:16" x14ac:dyDescent="0.2">
      <c r="D199">
        <f t="shared" si="68"/>
        <v>322</v>
      </c>
      <c r="F199" s="12">
        <v>2110</v>
      </c>
      <c r="G199">
        <v>72518</v>
      </c>
      <c r="H199" s="12">
        <v>206</v>
      </c>
      <c r="I199" s="12">
        <f t="shared" si="69"/>
        <v>1904</v>
      </c>
      <c r="N199">
        <f t="shared" si="67"/>
        <v>325</v>
      </c>
      <c r="O199" s="15">
        <f t="shared" si="65"/>
        <v>450</v>
      </c>
      <c r="P199" s="15">
        <f t="shared" si="66"/>
        <v>2772</v>
      </c>
    </row>
    <row r="200" spans="4:16" x14ac:dyDescent="0.2">
      <c r="D200">
        <f t="shared" si="68"/>
        <v>323</v>
      </c>
      <c r="F200" s="12">
        <v>83</v>
      </c>
      <c r="G200">
        <v>13079</v>
      </c>
      <c r="H200" s="12">
        <v>47</v>
      </c>
      <c r="I200" s="12">
        <f t="shared" si="69"/>
        <v>36</v>
      </c>
      <c r="N200">
        <f t="shared" si="67"/>
        <v>326</v>
      </c>
      <c r="O200" s="15">
        <f t="shared" si="65"/>
        <v>156</v>
      </c>
      <c r="P200" s="15">
        <f t="shared" si="66"/>
        <v>116</v>
      </c>
    </row>
    <row r="201" spans="4:16" x14ac:dyDescent="0.2">
      <c r="D201">
        <f t="shared" si="68"/>
        <v>324</v>
      </c>
      <c r="F201" s="12">
        <v>3319</v>
      </c>
      <c r="G201">
        <v>40134</v>
      </c>
      <c r="H201" s="12">
        <v>160</v>
      </c>
      <c r="I201" s="12">
        <f t="shared" si="69"/>
        <v>3159</v>
      </c>
      <c r="N201">
        <f t="shared" si="67"/>
        <v>327</v>
      </c>
      <c r="O201" s="15">
        <f t="shared" si="65"/>
        <v>111</v>
      </c>
      <c r="P201" s="15">
        <f t="shared" si="66"/>
        <v>600</v>
      </c>
    </row>
    <row r="202" spans="4:16" x14ac:dyDescent="0.2">
      <c r="D202">
        <f t="shared" si="68"/>
        <v>325</v>
      </c>
      <c r="F202" s="12">
        <v>3222</v>
      </c>
      <c r="G202">
        <v>151595</v>
      </c>
      <c r="H202" s="12">
        <v>450</v>
      </c>
      <c r="I202" s="12">
        <f t="shared" si="69"/>
        <v>2772</v>
      </c>
      <c r="N202">
        <f t="shared" si="67"/>
        <v>331</v>
      </c>
      <c r="O202" s="15">
        <f t="shared" si="65"/>
        <v>400</v>
      </c>
      <c r="P202" s="15">
        <f t="shared" si="66"/>
        <v>1255</v>
      </c>
    </row>
    <row r="203" spans="4:16" x14ac:dyDescent="0.2">
      <c r="D203">
        <f t="shared" si="68"/>
        <v>326</v>
      </c>
      <c r="F203" s="12">
        <v>272</v>
      </c>
      <c r="G203">
        <v>53404</v>
      </c>
      <c r="H203" s="12">
        <v>156</v>
      </c>
      <c r="I203" s="12">
        <f t="shared" si="69"/>
        <v>116</v>
      </c>
      <c r="N203">
        <f t="shared" si="67"/>
        <v>332</v>
      </c>
      <c r="O203" s="15">
        <f t="shared" si="65"/>
        <v>127</v>
      </c>
      <c r="P203" s="15">
        <f t="shared" si="66"/>
        <v>174</v>
      </c>
    </row>
    <row r="204" spans="4:16" x14ac:dyDescent="0.2">
      <c r="D204">
        <f t="shared" si="68"/>
        <v>327</v>
      </c>
      <c r="F204" s="12">
        <v>711</v>
      </c>
      <c r="G204">
        <v>42976</v>
      </c>
      <c r="H204" s="12">
        <v>111</v>
      </c>
      <c r="I204" s="12">
        <f t="shared" si="69"/>
        <v>600</v>
      </c>
      <c r="N204">
        <f t="shared" si="67"/>
        <v>333</v>
      </c>
      <c r="O204" s="15">
        <f t="shared" si="65"/>
        <v>70</v>
      </c>
      <c r="P204" s="15">
        <f t="shared" si="66"/>
        <v>78</v>
      </c>
    </row>
    <row r="205" spans="4:16" x14ac:dyDescent="0.2">
      <c r="D205">
        <f t="shared" si="68"/>
        <v>331</v>
      </c>
      <c r="F205" s="12">
        <v>1655</v>
      </c>
      <c r="G205">
        <v>134325</v>
      </c>
      <c r="H205" s="12">
        <v>400</v>
      </c>
      <c r="I205" s="12">
        <f t="shared" si="69"/>
        <v>1255</v>
      </c>
      <c r="N205">
        <f t="shared" si="67"/>
        <v>334</v>
      </c>
      <c r="O205" s="15">
        <f t="shared" si="65"/>
        <v>101</v>
      </c>
      <c r="P205" s="15">
        <f t="shared" si="66"/>
        <v>43</v>
      </c>
    </row>
    <row r="206" spans="4:16" x14ac:dyDescent="0.2">
      <c r="D206">
        <f t="shared" si="68"/>
        <v>332</v>
      </c>
      <c r="F206" s="12">
        <v>301</v>
      </c>
      <c r="G206">
        <v>41965</v>
      </c>
      <c r="H206" s="12">
        <v>127</v>
      </c>
      <c r="I206" s="12">
        <f t="shared" si="69"/>
        <v>174</v>
      </c>
      <c r="N206">
        <f t="shared" si="67"/>
        <v>335</v>
      </c>
      <c r="O206" s="15">
        <f t="shared" si="65"/>
        <v>36</v>
      </c>
      <c r="P206" s="15">
        <f t="shared" si="66"/>
        <v>38</v>
      </c>
    </row>
    <row r="207" spans="4:16" x14ac:dyDescent="0.2">
      <c r="D207">
        <f t="shared" si="68"/>
        <v>333</v>
      </c>
      <c r="F207" s="12">
        <v>148</v>
      </c>
      <c r="G207">
        <v>32394</v>
      </c>
      <c r="H207" s="12">
        <v>70</v>
      </c>
      <c r="I207" s="12">
        <f t="shared" si="69"/>
        <v>78</v>
      </c>
      <c r="N207">
        <f t="shared" si="67"/>
        <v>336</v>
      </c>
      <c r="O207" s="15">
        <f t="shared" si="65"/>
        <v>132</v>
      </c>
      <c r="P207" s="15">
        <f t="shared" si="66"/>
        <v>143</v>
      </c>
    </row>
    <row r="208" spans="4:16" x14ac:dyDescent="0.2">
      <c r="D208">
        <f t="shared" si="68"/>
        <v>334</v>
      </c>
      <c r="E208" s="3"/>
      <c r="F208" s="12">
        <v>144</v>
      </c>
      <c r="G208">
        <v>27509</v>
      </c>
      <c r="H208" s="12">
        <v>101</v>
      </c>
      <c r="I208" s="12">
        <f t="shared" si="69"/>
        <v>43</v>
      </c>
      <c r="N208">
        <f t="shared" si="67"/>
        <v>337</v>
      </c>
      <c r="O208" s="15">
        <f t="shared" si="65"/>
        <v>17</v>
      </c>
      <c r="P208" s="15">
        <f t="shared" si="66"/>
        <v>19</v>
      </c>
    </row>
    <row r="209" spans="4:26" x14ac:dyDescent="0.2">
      <c r="D209">
        <f t="shared" si="68"/>
        <v>335</v>
      </c>
      <c r="F209">
        <v>74</v>
      </c>
      <c r="G209">
        <v>12867</v>
      </c>
      <c r="H209" s="12">
        <v>36</v>
      </c>
      <c r="I209" s="12">
        <f t="shared" si="69"/>
        <v>38</v>
      </c>
      <c r="N209">
        <f t="shared" si="67"/>
        <v>339</v>
      </c>
      <c r="O209" s="15">
        <f t="shared" si="65"/>
        <v>26</v>
      </c>
      <c r="P209" s="15">
        <f t="shared" si="66"/>
        <v>17</v>
      </c>
    </row>
    <row r="210" spans="4:26" x14ac:dyDescent="0.2">
      <c r="D210">
        <f t="shared" si="68"/>
        <v>336</v>
      </c>
      <c r="F210" s="12">
        <v>275</v>
      </c>
      <c r="G210">
        <v>57169</v>
      </c>
      <c r="H210" s="12">
        <v>132</v>
      </c>
      <c r="I210" s="12">
        <f t="shared" si="69"/>
        <v>143</v>
      </c>
      <c r="O210" s="15">
        <f>SUM(O192:O209)</f>
        <v>2435</v>
      </c>
      <c r="P210" s="15">
        <f>SUM(P192:P209)</f>
        <v>11795</v>
      </c>
    </row>
    <row r="211" spans="4:26" x14ac:dyDescent="0.2">
      <c r="D211">
        <f t="shared" si="68"/>
        <v>337</v>
      </c>
      <c r="F211" s="12">
        <v>36</v>
      </c>
      <c r="G211">
        <v>9264</v>
      </c>
      <c r="H211" s="12">
        <v>17</v>
      </c>
      <c r="I211" s="12">
        <f t="shared" si="69"/>
        <v>19</v>
      </c>
    </row>
    <row r="212" spans="4:26" x14ac:dyDescent="0.2">
      <c r="D212">
        <f t="shared" si="68"/>
        <v>339</v>
      </c>
      <c r="F212" s="33">
        <v>43</v>
      </c>
      <c r="G212" s="34">
        <v>9677</v>
      </c>
      <c r="H212" s="33">
        <v>26</v>
      </c>
      <c r="I212" s="33">
        <f t="shared" si="69"/>
        <v>17</v>
      </c>
    </row>
    <row r="213" spans="4:26" x14ac:dyDescent="0.2">
      <c r="F213" s="15">
        <v>14228</v>
      </c>
      <c r="G213" s="15">
        <f>SUM(G192:G212)</f>
        <v>835467</v>
      </c>
      <c r="H213" s="15">
        <v>2437</v>
      </c>
      <c r="I213" s="15">
        <f>SUM(I192:I212)</f>
        <v>11795</v>
      </c>
      <c r="Z213" s="52" t="s">
        <v>273</v>
      </c>
    </row>
    <row r="214" spans="4:26" x14ac:dyDescent="0.2">
      <c r="F214" s="15"/>
      <c r="G214" s="15"/>
      <c r="H214" s="15"/>
      <c r="I214" s="15"/>
      <c r="Z214" s="52"/>
    </row>
    <row r="215" spans="4:26" x14ac:dyDescent="0.2">
      <c r="F215" s="15"/>
      <c r="G215" s="15"/>
      <c r="H215" s="15"/>
      <c r="I215" s="15"/>
      <c r="Z215" s="52"/>
    </row>
    <row r="216" spans="4:26" x14ac:dyDescent="0.2">
      <c r="D216">
        <v>2014</v>
      </c>
      <c r="E216" t="s">
        <v>38</v>
      </c>
      <c r="F216" t="s">
        <v>95</v>
      </c>
      <c r="H216" s="52" t="s">
        <v>458</v>
      </c>
      <c r="J216" s="31"/>
      <c r="K216" s="31"/>
      <c r="L216" s="31"/>
      <c r="N216" t="s">
        <v>94</v>
      </c>
      <c r="Z216" s="52"/>
    </row>
    <row r="217" spans="4:26" ht="34.5" thickBot="1" x14ac:dyDescent="0.25">
      <c r="F217" s="10" t="s">
        <v>33</v>
      </c>
      <c r="G217" s="11" t="s">
        <v>459</v>
      </c>
      <c r="H217" s="11" t="s">
        <v>35</v>
      </c>
      <c r="I217" s="11" t="s">
        <v>36</v>
      </c>
      <c r="J217" s="32"/>
      <c r="K217" s="32"/>
      <c r="L217" s="32"/>
      <c r="O217" s="17" t="s">
        <v>35</v>
      </c>
      <c r="P217" s="17" t="s">
        <v>36</v>
      </c>
      <c r="Z217" s="52"/>
    </row>
    <row r="218" spans="4:26" x14ac:dyDescent="0.2">
      <c r="D218" s="2">
        <v>311</v>
      </c>
      <c r="F218" s="12">
        <v>1114</v>
      </c>
      <c r="G218" s="12">
        <v>73440</v>
      </c>
      <c r="H218" s="12">
        <v>247</v>
      </c>
      <c r="I218" s="12">
        <f t="shared" ref="I218:I238" si="70">F218-H218</f>
        <v>867</v>
      </c>
      <c r="J218" s="19">
        <v>1</v>
      </c>
      <c r="K218" s="19"/>
      <c r="L218" s="19"/>
      <c r="N218" t="s">
        <v>12</v>
      </c>
      <c r="O218" s="15">
        <f>H218+H219</f>
        <v>280</v>
      </c>
      <c r="P218" s="15">
        <f>I218+I219</f>
        <v>929</v>
      </c>
      <c r="Z218" s="52"/>
    </row>
    <row r="219" spans="4:26" x14ac:dyDescent="0.2">
      <c r="D219" s="2">
        <v>312</v>
      </c>
      <c r="F219" s="19">
        <v>95</v>
      </c>
      <c r="G219" s="12">
        <v>8858</v>
      </c>
      <c r="H219" s="12">
        <v>33</v>
      </c>
      <c r="I219" s="12">
        <f t="shared" si="70"/>
        <v>62</v>
      </c>
      <c r="J219" s="19"/>
      <c r="K219" s="19"/>
      <c r="L219" s="19"/>
      <c r="N219" t="s">
        <v>13</v>
      </c>
      <c r="O219" s="15">
        <f>H220+H221</f>
        <v>52</v>
      </c>
      <c r="P219" s="15">
        <f>I220+I221</f>
        <v>72</v>
      </c>
      <c r="Z219" s="52"/>
    </row>
    <row r="220" spans="4:26" x14ac:dyDescent="0.2">
      <c r="D220" s="2">
        <v>313</v>
      </c>
      <c r="F220" s="12">
        <v>97</v>
      </c>
      <c r="G220" s="12">
        <v>19224</v>
      </c>
      <c r="H220" s="12">
        <v>43</v>
      </c>
      <c r="I220" s="12">
        <f t="shared" si="70"/>
        <v>54</v>
      </c>
      <c r="J220" s="19"/>
      <c r="K220" s="19"/>
      <c r="L220" s="19"/>
      <c r="N220" t="s">
        <v>14</v>
      </c>
      <c r="O220" s="15">
        <f>H222+H223</f>
        <v>4</v>
      </c>
      <c r="P220" s="15">
        <f>I222+I223</f>
        <v>3</v>
      </c>
      <c r="Z220" s="52"/>
    </row>
    <row r="221" spans="4:26" x14ac:dyDescent="0.2">
      <c r="D221">
        <v>314</v>
      </c>
      <c r="F221" s="12">
        <v>27</v>
      </c>
      <c r="G221" s="12">
        <v>5920</v>
      </c>
      <c r="H221" s="12">
        <v>9</v>
      </c>
      <c r="I221" s="12">
        <f t="shared" si="70"/>
        <v>18</v>
      </c>
      <c r="J221" s="31"/>
      <c r="K221" s="31"/>
      <c r="L221" s="31"/>
      <c r="N221">
        <v>321</v>
      </c>
      <c r="O221" s="15">
        <f t="shared" ref="O221:O235" si="71">H224</f>
        <v>73</v>
      </c>
      <c r="P221" s="15">
        <f t="shared" ref="P221:P235" si="72">I224</f>
        <v>311</v>
      </c>
      <c r="Z221" s="52"/>
    </row>
    <row r="222" spans="4:26" x14ac:dyDescent="0.2">
      <c r="D222">
        <v>315</v>
      </c>
      <c r="F222" s="12">
        <v>5</v>
      </c>
      <c r="G222" s="12">
        <v>2013</v>
      </c>
      <c r="H222" s="12">
        <v>3</v>
      </c>
      <c r="I222" s="12">
        <f t="shared" si="70"/>
        <v>2</v>
      </c>
      <c r="J222" s="19"/>
      <c r="K222" s="19"/>
      <c r="L222" s="19"/>
      <c r="N222">
        <f>D225</f>
        <v>322</v>
      </c>
      <c r="O222" s="15">
        <f t="shared" si="71"/>
        <v>191</v>
      </c>
      <c r="P222" s="15">
        <f t="shared" si="72"/>
        <v>1899</v>
      </c>
      <c r="Z222" s="52"/>
    </row>
    <row r="223" spans="4:26" x14ac:dyDescent="0.2">
      <c r="D223">
        <v>316</v>
      </c>
      <c r="F223" s="19">
        <v>2</v>
      </c>
      <c r="G223">
        <v>413</v>
      </c>
      <c r="H223" s="12">
        <v>1</v>
      </c>
      <c r="I223" s="12">
        <f t="shared" si="70"/>
        <v>1</v>
      </c>
      <c r="J223" s="31"/>
      <c r="K223" s="31"/>
      <c r="L223" s="31"/>
      <c r="N223">
        <f t="shared" ref="N223:N235" si="73">D226</f>
        <v>323</v>
      </c>
      <c r="O223" s="15">
        <f t="shared" si="71"/>
        <v>49</v>
      </c>
      <c r="P223" s="15">
        <f t="shared" si="72"/>
        <v>40</v>
      </c>
      <c r="Z223" s="52"/>
    </row>
    <row r="224" spans="4:26" x14ac:dyDescent="0.2">
      <c r="D224">
        <v>321</v>
      </c>
      <c r="F224" s="19">
        <v>384</v>
      </c>
      <c r="G224">
        <v>26723</v>
      </c>
      <c r="H224" s="12">
        <v>73</v>
      </c>
      <c r="I224" s="12">
        <f t="shared" si="70"/>
        <v>311</v>
      </c>
      <c r="N224">
        <f t="shared" si="73"/>
        <v>324</v>
      </c>
      <c r="O224" s="15">
        <f t="shared" si="71"/>
        <v>167</v>
      </c>
      <c r="P224" s="15">
        <f t="shared" si="72"/>
        <v>3346</v>
      </c>
      <c r="Z224" s="52"/>
    </row>
    <row r="225" spans="4:26" x14ac:dyDescent="0.2">
      <c r="D225">
        <v>322</v>
      </c>
      <c r="F225" s="12">
        <v>2090</v>
      </c>
      <c r="G225">
        <v>72518</v>
      </c>
      <c r="H225" s="12">
        <v>191</v>
      </c>
      <c r="I225" s="12">
        <f t="shared" si="70"/>
        <v>1899</v>
      </c>
      <c r="N225">
        <f t="shared" si="73"/>
        <v>325</v>
      </c>
      <c r="O225" s="15">
        <f t="shared" si="71"/>
        <v>458</v>
      </c>
      <c r="P225" s="15">
        <f t="shared" si="72"/>
        <v>3069</v>
      </c>
      <c r="Z225" s="52"/>
    </row>
    <row r="226" spans="4:26" x14ac:dyDescent="0.2">
      <c r="D226">
        <v>323</v>
      </c>
      <c r="F226" s="12">
        <v>89</v>
      </c>
      <c r="G226">
        <v>13079</v>
      </c>
      <c r="H226" s="12">
        <v>49</v>
      </c>
      <c r="I226" s="12">
        <f t="shared" si="70"/>
        <v>40</v>
      </c>
      <c r="N226">
        <f t="shared" si="73"/>
        <v>326</v>
      </c>
      <c r="O226" s="15">
        <f t="shared" si="71"/>
        <v>190</v>
      </c>
      <c r="P226" s="15">
        <f t="shared" si="72"/>
        <v>104</v>
      </c>
      <c r="Z226" s="52"/>
    </row>
    <row r="227" spans="4:26" x14ac:dyDescent="0.2">
      <c r="D227">
        <v>324</v>
      </c>
      <c r="F227" s="12">
        <v>3513</v>
      </c>
      <c r="G227">
        <v>40134</v>
      </c>
      <c r="H227" s="12">
        <v>167</v>
      </c>
      <c r="I227" s="12">
        <f t="shared" si="70"/>
        <v>3346</v>
      </c>
      <c r="N227">
        <f t="shared" si="73"/>
        <v>327</v>
      </c>
      <c r="O227" s="15">
        <f t="shared" si="71"/>
        <v>128</v>
      </c>
      <c r="P227" s="15">
        <f t="shared" si="72"/>
        <v>699</v>
      </c>
      <c r="Z227" s="52"/>
    </row>
    <row r="228" spans="4:26" x14ac:dyDescent="0.2">
      <c r="D228">
        <v>325</v>
      </c>
      <c r="F228" s="12">
        <v>3527</v>
      </c>
      <c r="G228">
        <v>151595</v>
      </c>
      <c r="H228" s="12">
        <v>458</v>
      </c>
      <c r="I228" s="12">
        <f t="shared" si="70"/>
        <v>3069</v>
      </c>
      <c r="N228">
        <f t="shared" si="73"/>
        <v>331</v>
      </c>
      <c r="O228" s="15">
        <f t="shared" si="71"/>
        <v>433</v>
      </c>
      <c r="P228" s="15">
        <f t="shared" si="72"/>
        <v>1251</v>
      </c>
      <c r="Z228" s="52"/>
    </row>
    <row r="229" spans="4:26" x14ac:dyDescent="0.2">
      <c r="D229">
        <v>326</v>
      </c>
      <c r="F229" s="12">
        <v>294</v>
      </c>
      <c r="G229">
        <v>53404</v>
      </c>
      <c r="H229" s="12">
        <v>190</v>
      </c>
      <c r="I229" s="12">
        <f t="shared" si="70"/>
        <v>104</v>
      </c>
      <c r="N229">
        <f t="shared" si="73"/>
        <v>332</v>
      </c>
      <c r="O229" s="15">
        <f t="shared" si="71"/>
        <v>143</v>
      </c>
      <c r="P229" s="15">
        <f t="shared" si="72"/>
        <v>201</v>
      </c>
      <c r="Z229" s="52"/>
    </row>
    <row r="230" spans="4:26" x14ac:dyDescent="0.2">
      <c r="D230">
        <v>327</v>
      </c>
      <c r="F230" s="12">
        <v>827</v>
      </c>
      <c r="G230">
        <v>42976</v>
      </c>
      <c r="H230" s="12">
        <v>128</v>
      </c>
      <c r="I230" s="12">
        <f t="shared" si="70"/>
        <v>699</v>
      </c>
      <c r="N230">
        <f t="shared" si="73"/>
        <v>333</v>
      </c>
      <c r="O230" s="15">
        <f t="shared" si="71"/>
        <v>80</v>
      </c>
      <c r="P230" s="15">
        <f t="shared" si="72"/>
        <v>84</v>
      </c>
      <c r="Z230" s="52"/>
    </row>
    <row r="231" spans="4:26" x14ac:dyDescent="0.2">
      <c r="D231">
        <v>331</v>
      </c>
      <c r="F231" s="12">
        <v>1684</v>
      </c>
      <c r="G231">
        <v>134325</v>
      </c>
      <c r="H231" s="12">
        <v>433</v>
      </c>
      <c r="I231" s="12">
        <f t="shared" si="70"/>
        <v>1251</v>
      </c>
      <c r="N231">
        <f t="shared" si="73"/>
        <v>334</v>
      </c>
      <c r="O231" s="15">
        <f t="shared" si="71"/>
        <v>112</v>
      </c>
      <c r="P231" s="15">
        <f t="shared" si="72"/>
        <v>50</v>
      </c>
      <c r="Z231" s="52"/>
    </row>
    <row r="232" spans="4:26" x14ac:dyDescent="0.2">
      <c r="D232">
        <v>332</v>
      </c>
      <c r="F232" s="12">
        <v>344</v>
      </c>
      <c r="G232">
        <v>41965</v>
      </c>
      <c r="H232" s="12">
        <v>143</v>
      </c>
      <c r="I232" s="12">
        <f t="shared" si="70"/>
        <v>201</v>
      </c>
      <c r="N232">
        <f t="shared" si="73"/>
        <v>335</v>
      </c>
      <c r="O232" s="15">
        <f t="shared" si="71"/>
        <v>40</v>
      </c>
      <c r="P232" s="15">
        <f t="shared" si="72"/>
        <v>31</v>
      </c>
      <c r="Z232" s="52"/>
    </row>
    <row r="233" spans="4:26" x14ac:dyDescent="0.2">
      <c r="D233">
        <v>333</v>
      </c>
      <c r="F233" s="12">
        <v>164</v>
      </c>
      <c r="G233">
        <v>32394</v>
      </c>
      <c r="H233" s="12">
        <v>80</v>
      </c>
      <c r="I233" s="12">
        <f t="shared" si="70"/>
        <v>84</v>
      </c>
      <c r="N233">
        <f t="shared" si="73"/>
        <v>336</v>
      </c>
      <c r="O233" s="15">
        <f t="shared" si="71"/>
        <v>154</v>
      </c>
      <c r="P233" s="15">
        <f t="shared" si="72"/>
        <v>164</v>
      </c>
      <c r="Z233" s="52"/>
    </row>
    <row r="234" spans="4:26" x14ac:dyDescent="0.2">
      <c r="D234">
        <v>334</v>
      </c>
      <c r="E234" s="3"/>
      <c r="F234" s="12">
        <v>162</v>
      </c>
      <c r="G234">
        <v>27509</v>
      </c>
      <c r="H234" s="12">
        <v>112</v>
      </c>
      <c r="I234" s="12">
        <f t="shared" si="70"/>
        <v>50</v>
      </c>
      <c r="N234">
        <f t="shared" si="73"/>
        <v>337</v>
      </c>
      <c r="O234" s="15">
        <f t="shared" si="71"/>
        <v>17</v>
      </c>
      <c r="P234" s="15">
        <f t="shared" si="72"/>
        <v>20</v>
      </c>
      <c r="Z234" s="52"/>
    </row>
    <row r="235" spans="4:26" x14ac:dyDescent="0.2">
      <c r="D235">
        <v>335</v>
      </c>
      <c r="F235">
        <v>71</v>
      </c>
      <c r="G235">
        <v>12867</v>
      </c>
      <c r="H235" s="12">
        <v>40</v>
      </c>
      <c r="I235" s="12">
        <f t="shared" si="70"/>
        <v>31</v>
      </c>
      <c r="N235">
        <f t="shared" si="73"/>
        <v>339</v>
      </c>
      <c r="O235" s="15">
        <f t="shared" si="71"/>
        <v>29</v>
      </c>
      <c r="P235" s="15">
        <f t="shared" si="72"/>
        <v>28</v>
      </c>
      <c r="Z235" s="52"/>
    </row>
    <row r="236" spans="4:26" x14ac:dyDescent="0.2">
      <c r="D236">
        <v>336</v>
      </c>
      <c r="F236" s="12">
        <v>318</v>
      </c>
      <c r="G236">
        <v>57169</v>
      </c>
      <c r="H236" s="12">
        <v>154</v>
      </c>
      <c r="I236" s="12">
        <f t="shared" si="70"/>
        <v>164</v>
      </c>
      <c r="O236" s="15">
        <f>SUM(O218:O235)</f>
        <v>2600</v>
      </c>
      <c r="P236" s="15">
        <f>SUM(P218:P235)</f>
        <v>12301</v>
      </c>
      <c r="Z236" s="52"/>
    </row>
    <row r="237" spans="4:26" x14ac:dyDescent="0.2">
      <c r="D237">
        <v>337</v>
      </c>
      <c r="F237" s="12">
        <v>37</v>
      </c>
      <c r="G237">
        <v>9264</v>
      </c>
      <c r="H237" s="12">
        <v>17</v>
      </c>
      <c r="I237" s="12">
        <f t="shared" si="70"/>
        <v>20</v>
      </c>
      <c r="Z237" s="52"/>
    </row>
    <row r="238" spans="4:26" x14ac:dyDescent="0.2">
      <c r="D238">
        <v>339</v>
      </c>
      <c r="F238" s="33">
        <v>57</v>
      </c>
      <c r="G238" s="34">
        <v>9677</v>
      </c>
      <c r="H238" s="33">
        <v>29</v>
      </c>
      <c r="I238" s="33">
        <f t="shared" si="70"/>
        <v>28</v>
      </c>
      <c r="Z238" s="52"/>
    </row>
    <row r="239" spans="4:26" x14ac:dyDescent="0.2">
      <c r="F239" s="15">
        <f>SUM(F218:F238)</f>
        <v>14901</v>
      </c>
      <c r="G239" s="15">
        <f>SUM(G218:G238)</f>
        <v>835467</v>
      </c>
      <c r="H239" s="15">
        <f>SUM(H218:H238)</f>
        <v>2600</v>
      </c>
      <c r="I239" s="15">
        <f>SUM(I218:I238)</f>
        <v>12301</v>
      </c>
      <c r="Z239" s="52"/>
    </row>
    <row r="240" spans="4:26" x14ac:dyDescent="0.2">
      <c r="F240" s="15"/>
      <c r="G240" s="15"/>
      <c r="H240" s="15"/>
      <c r="I240" s="15"/>
      <c r="Z240" s="52"/>
    </row>
    <row r="241" spans="4:42" x14ac:dyDescent="0.2">
      <c r="Z241" s="52" t="s">
        <v>268</v>
      </c>
      <c r="AC241" s="52" t="s">
        <v>265</v>
      </c>
      <c r="AF241" s="52" t="s">
        <v>266</v>
      </c>
      <c r="AI241" s="52" t="s">
        <v>267</v>
      </c>
      <c r="AL241" s="52" t="s">
        <v>269</v>
      </c>
      <c r="AO241" s="52" t="s">
        <v>270</v>
      </c>
    </row>
    <row r="242" spans="4:42" x14ac:dyDescent="0.2">
      <c r="Z242" t="s">
        <v>97</v>
      </c>
      <c r="AA242" t="s">
        <v>98</v>
      </c>
      <c r="AC242" t="s">
        <v>97</v>
      </c>
      <c r="AD242" t="s">
        <v>98</v>
      </c>
      <c r="AI242" t="s">
        <v>97</v>
      </c>
      <c r="AJ242" t="s">
        <v>98</v>
      </c>
      <c r="AL242" t="s">
        <v>97</v>
      </c>
      <c r="AM242" t="s">
        <v>98</v>
      </c>
      <c r="AO242" t="s">
        <v>97</v>
      </c>
      <c r="AP242" t="s">
        <v>98</v>
      </c>
    </row>
    <row r="243" spans="4:42" ht="13.5" thickBot="1" x14ac:dyDescent="0.25">
      <c r="E243" s="1">
        <v>1985</v>
      </c>
      <c r="F243" s="1">
        <v>1988</v>
      </c>
      <c r="G243" s="1">
        <v>1991</v>
      </c>
      <c r="H243" s="1">
        <v>1994</v>
      </c>
      <c r="I243" s="1">
        <v>1998</v>
      </c>
      <c r="J243" s="1">
        <v>2002</v>
      </c>
      <c r="K243" s="1">
        <v>2006</v>
      </c>
      <c r="L243" s="1">
        <v>2010</v>
      </c>
      <c r="M243" s="1">
        <v>2014</v>
      </c>
      <c r="Y243">
        <f>F243</f>
        <v>1988</v>
      </c>
      <c r="Z243">
        <v>1988</v>
      </c>
      <c r="AA243">
        <f>F243</f>
        <v>1988</v>
      </c>
      <c r="AC243">
        <v>1991</v>
      </c>
      <c r="AD243">
        <v>1991</v>
      </c>
      <c r="AF243">
        <v>1994</v>
      </c>
      <c r="AG243">
        <v>1994</v>
      </c>
      <c r="AI243">
        <v>1998</v>
      </c>
      <c r="AJ243">
        <v>1998</v>
      </c>
      <c r="AL243">
        <v>2002</v>
      </c>
      <c r="AM243">
        <v>2002</v>
      </c>
      <c r="AO243">
        <v>2002</v>
      </c>
      <c r="AP243">
        <v>2002</v>
      </c>
    </row>
    <row r="244" spans="4:42" x14ac:dyDescent="0.2">
      <c r="D244" t="str">
        <f t="shared" ref="D244:D261" si="74">N166</f>
        <v>311-312</v>
      </c>
      <c r="E244" s="7">
        <f t="shared" ref="E244:E261" si="75">R8</f>
        <v>814.40918409036976</v>
      </c>
      <c r="F244" s="7">
        <f t="shared" ref="F244:F261" si="76">R34</f>
        <v>851.12053122624513</v>
      </c>
      <c r="G244" s="7">
        <f t="shared" ref="G244:G261" si="77">R60</f>
        <v>809.67414956814787</v>
      </c>
      <c r="H244" s="7">
        <f t="shared" ref="H244:H261" si="78">R86</f>
        <v>1008.5825527109854</v>
      </c>
      <c r="I244" s="15">
        <f t="shared" ref="I244:I261" si="79">P114</f>
        <v>914.596452</v>
      </c>
      <c r="J244" s="15">
        <f t="shared" ref="J244:J261" si="80">P140</f>
        <v>963.55408</v>
      </c>
      <c r="K244" s="15">
        <f t="shared" ref="K244:K261" si="81">P166</f>
        <v>1014.1992240000001</v>
      </c>
      <c r="L244" s="15">
        <f t="shared" ref="L244:L262" si="82">P192</f>
        <v>958</v>
      </c>
      <c r="M244" s="15">
        <f>P218</f>
        <v>929</v>
      </c>
      <c r="Y244" t="str">
        <f>D244</f>
        <v>311-312</v>
      </c>
      <c r="Z244">
        <v>832.64244910083971</v>
      </c>
      <c r="AA244">
        <f t="shared" ref="AA244:AA261" si="83">F244</f>
        <v>851.12053122624513</v>
      </c>
      <c r="AC244">
        <v>825.06814544225392</v>
      </c>
      <c r="AD244" s="7">
        <f>G244</f>
        <v>809.67414956814787</v>
      </c>
      <c r="AF244">
        <v>1019.6176246830094</v>
      </c>
      <c r="AG244" s="7">
        <f t="shared" ref="AG244:AG261" si="84">H244</f>
        <v>1008.5825527109854</v>
      </c>
      <c r="AI244">
        <v>913.99999999999989</v>
      </c>
      <c r="AJ244" s="15">
        <f>I244</f>
        <v>914.596452</v>
      </c>
      <c r="AL244">
        <v>972.00000000000023</v>
      </c>
      <c r="AM244" s="15">
        <f>J244</f>
        <v>963.55408</v>
      </c>
      <c r="AO244">
        <v>1012.9999999999999</v>
      </c>
      <c r="AP244" s="15">
        <f t="shared" ref="AP244:AP261" si="85">K244</f>
        <v>1014.1992240000001</v>
      </c>
    </row>
    <row r="245" spans="4:42" x14ac:dyDescent="0.2">
      <c r="D245" t="str">
        <f t="shared" si="74"/>
        <v>313-314</v>
      </c>
      <c r="E245" s="7">
        <f t="shared" si="75"/>
        <v>156.1414043262503</v>
      </c>
      <c r="F245" s="7">
        <f t="shared" si="76"/>
        <v>168.48905994885055</v>
      </c>
      <c r="G245" s="7">
        <f t="shared" si="77"/>
        <v>167.22964134569051</v>
      </c>
      <c r="H245" s="7">
        <f t="shared" si="78"/>
        <v>192.94392268146368</v>
      </c>
      <c r="I245" s="15">
        <f t="shared" si="79"/>
        <v>183.883668</v>
      </c>
      <c r="J245" s="15">
        <f t="shared" si="80"/>
        <v>161.77534800000001</v>
      </c>
      <c r="K245" s="15">
        <f t="shared" si="81"/>
        <v>164.407712</v>
      </c>
      <c r="L245" s="15">
        <f t="shared" si="82"/>
        <v>62</v>
      </c>
      <c r="M245" s="15">
        <f t="shared" ref="M245:M261" si="86">P219</f>
        <v>72</v>
      </c>
      <c r="Y245" t="str">
        <f t="shared" ref="Y245:Y261" si="87">D245</f>
        <v>313-314</v>
      </c>
      <c r="Z245">
        <v>172.9272250155245</v>
      </c>
      <c r="AA245">
        <f t="shared" si="83"/>
        <v>168.48905994885055</v>
      </c>
      <c r="AC245">
        <v>172</v>
      </c>
      <c r="AD245" s="7">
        <f t="shared" ref="AD245:AD261" si="88">G245</f>
        <v>167.22964134569051</v>
      </c>
      <c r="AF245">
        <v>199.00000000000003</v>
      </c>
      <c r="AG245" s="7">
        <f t="shared" si="84"/>
        <v>192.94392268146368</v>
      </c>
      <c r="AI245">
        <v>163.1132797985552</v>
      </c>
      <c r="AJ245" s="15">
        <f t="shared" ref="AJ245:AJ261" si="89">I245</f>
        <v>183.883668</v>
      </c>
      <c r="AL245">
        <v>163.00000000000003</v>
      </c>
      <c r="AM245" s="15">
        <f t="shared" ref="AM245:AM261" si="90">J245</f>
        <v>161.77534800000001</v>
      </c>
      <c r="AO245">
        <v>164.50000000000003</v>
      </c>
      <c r="AP245" s="15">
        <f t="shared" si="85"/>
        <v>164.407712</v>
      </c>
    </row>
    <row r="246" spans="4:42" x14ac:dyDescent="0.2">
      <c r="D246" t="str">
        <f t="shared" si="74"/>
        <v>315-316</v>
      </c>
      <c r="E246" s="7">
        <f t="shared" si="75"/>
        <v>27.870927218965459</v>
      </c>
      <c r="F246" s="7">
        <f t="shared" si="76"/>
        <v>46.203934666809843</v>
      </c>
      <c r="G246" s="7">
        <f t="shared" si="77"/>
        <v>36.963147733447869</v>
      </c>
      <c r="H246" s="7">
        <f t="shared" si="78"/>
        <v>39.957336159874167</v>
      </c>
      <c r="I246" s="15">
        <f t="shared" si="79"/>
        <v>35.487055999999995</v>
      </c>
      <c r="J246" s="15">
        <f t="shared" si="80"/>
        <v>22.314752000000002</v>
      </c>
      <c r="K246" s="15">
        <f t="shared" si="81"/>
        <v>8.7224880000000002</v>
      </c>
      <c r="L246" s="15">
        <f t="shared" si="82"/>
        <v>3</v>
      </c>
      <c r="M246" s="15">
        <f t="shared" si="86"/>
        <v>3</v>
      </c>
      <c r="Y246" t="str">
        <f t="shared" si="87"/>
        <v>315-316</v>
      </c>
      <c r="Z246">
        <v>42.262922050854527</v>
      </c>
      <c r="AA246">
        <f t="shared" si="83"/>
        <v>46.203934666809843</v>
      </c>
      <c r="AC246">
        <v>34.35</v>
      </c>
      <c r="AD246" s="7">
        <f t="shared" si="88"/>
        <v>36.963147733447869</v>
      </c>
      <c r="AF246">
        <v>43.690100000000008</v>
      </c>
      <c r="AG246" s="7">
        <f t="shared" si="84"/>
        <v>39.957336159874167</v>
      </c>
      <c r="AI246">
        <v>37.000000000000014</v>
      </c>
      <c r="AJ246" s="15">
        <f t="shared" si="89"/>
        <v>35.487055999999995</v>
      </c>
      <c r="AL246">
        <v>23.300000000000022</v>
      </c>
      <c r="AM246" s="15">
        <f t="shared" si="90"/>
        <v>22.314752000000002</v>
      </c>
      <c r="AO246">
        <v>9.9000000000000234</v>
      </c>
      <c r="AP246" s="15">
        <f t="shared" si="85"/>
        <v>8.7224880000000002</v>
      </c>
    </row>
    <row r="247" spans="4:42" x14ac:dyDescent="0.2">
      <c r="D247">
        <f t="shared" si="74"/>
        <v>321</v>
      </c>
      <c r="E247" s="7">
        <f t="shared" si="75"/>
        <v>248.79987339144392</v>
      </c>
      <c r="F247" s="7">
        <f t="shared" si="76"/>
        <v>302.60197307912358</v>
      </c>
      <c r="G247" s="7">
        <f t="shared" si="77"/>
        <v>314.83245355703338</v>
      </c>
      <c r="H247" s="7">
        <f t="shared" si="78"/>
        <v>319.45866435321039</v>
      </c>
      <c r="I247" s="15">
        <f t="shared" si="79"/>
        <v>431.76796000000002</v>
      </c>
      <c r="J247" s="15">
        <f t="shared" si="80"/>
        <v>303.39918</v>
      </c>
      <c r="K247" s="15">
        <f t="shared" si="81"/>
        <v>353.821124</v>
      </c>
      <c r="L247" s="15">
        <f t="shared" si="82"/>
        <v>418</v>
      </c>
      <c r="M247" s="15">
        <f t="shared" si="86"/>
        <v>311</v>
      </c>
      <c r="Y247">
        <f t="shared" si="87"/>
        <v>321</v>
      </c>
      <c r="Z247">
        <v>350.60134196252159</v>
      </c>
      <c r="AA247">
        <f t="shared" si="83"/>
        <v>302.60197307912358</v>
      </c>
      <c r="AC247">
        <v>390</v>
      </c>
      <c r="AD247" s="7">
        <f t="shared" si="88"/>
        <v>314.83245355703338</v>
      </c>
      <c r="AF247">
        <v>422.27533333333326</v>
      </c>
      <c r="AG247" s="7">
        <f t="shared" si="84"/>
        <v>319.45866435321039</v>
      </c>
      <c r="AI247">
        <v>436</v>
      </c>
      <c r="AJ247" s="15">
        <f t="shared" si="89"/>
        <v>431.76796000000002</v>
      </c>
      <c r="AL247">
        <v>305</v>
      </c>
      <c r="AM247" s="15">
        <f t="shared" si="90"/>
        <v>303.39918</v>
      </c>
      <c r="AO247">
        <v>359.2</v>
      </c>
      <c r="AP247" s="15">
        <f t="shared" si="85"/>
        <v>353.821124</v>
      </c>
    </row>
    <row r="248" spans="4:42" x14ac:dyDescent="0.2">
      <c r="D248">
        <f t="shared" si="74"/>
        <v>322</v>
      </c>
      <c r="E248" s="7">
        <f t="shared" si="75"/>
        <v>2017.3632372266716</v>
      </c>
      <c r="F248" s="7">
        <f t="shared" si="76"/>
        <v>2153.9562641132611</v>
      </c>
      <c r="G248" s="7">
        <f t="shared" si="77"/>
        <v>2267.2367478194155</v>
      </c>
      <c r="H248" s="7">
        <f t="shared" si="78"/>
        <v>2406.5414497255788</v>
      </c>
      <c r="I248" s="15">
        <f t="shared" si="79"/>
        <v>2503.918032</v>
      </c>
      <c r="J248" s="15">
        <f t="shared" si="80"/>
        <v>2137.503764</v>
      </c>
      <c r="K248" s="15">
        <f t="shared" si="81"/>
        <v>2106.5685840000001</v>
      </c>
      <c r="L248" s="15">
        <f t="shared" si="82"/>
        <v>1904</v>
      </c>
      <c r="M248" s="15">
        <f t="shared" si="86"/>
        <v>1899</v>
      </c>
      <c r="Y248">
        <f t="shared" si="87"/>
        <v>322</v>
      </c>
      <c r="Z248">
        <v>2182.6146710187259</v>
      </c>
      <c r="AA248">
        <f t="shared" si="83"/>
        <v>2153.9562641132611</v>
      </c>
      <c r="AC248">
        <v>2295.8260517799358</v>
      </c>
      <c r="AD248" s="7">
        <f t="shared" si="88"/>
        <v>2267.2367478194155</v>
      </c>
      <c r="AF248">
        <v>2442</v>
      </c>
      <c r="AG248" s="7">
        <f t="shared" si="84"/>
        <v>2406.5414497255788</v>
      </c>
      <c r="AI248">
        <v>2506</v>
      </c>
      <c r="AJ248" s="15">
        <f t="shared" si="89"/>
        <v>2503.918032</v>
      </c>
      <c r="AL248">
        <v>2139</v>
      </c>
      <c r="AM248" s="15">
        <f t="shared" si="90"/>
        <v>2137.503764</v>
      </c>
      <c r="AO248">
        <v>2106</v>
      </c>
      <c r="AP248" s="15">
        <f t="shared" si="85"/>
        <v>2106.5685840000001</v>
      </c>
    </row>
    <row r="249" spans="4:42" x14ac:dyDescent="0.2">
      <c r="D249">
        <f t="shared" si="74"/>
        <v>323</v>
      </c>
      <c r="E249" s="7">
        <f t="shared" si="75"/>
        <v>26.699079874753146</v>
      </c>
      <c r="F249" s="7">
        <f t="shared" si="76"/>
        <v>40.089746346787351</v>
      </c>
      <c r="G249" s="7">
        <f t="shared" si="77"/>
        <v>38.576483481067747</v>
      </c>
      <c r="H249" s="7">
        <f t="shared" si="78"/>
        <v>37.113573244007682</v>
      </c>
      <c r="I249" s="15">
        <f t="shared" si="79"/>
        <v>47.004247999999997</v>
      </c>
      <c r="J249" s="15">
        <f t="shared" si="80"/>
        <v>47.795832000000004</v>
      </c>
      <c r="K249" s="15">
        <f t="shared" si="81"/>
        <v>40.374451999999998</v>
      </c>
      <c r="L249" s="15">
        <f t="shared" si="82"/>
        <v>36</v>
      </c>
      <c r="M249" s="15">
        <f t="shared" si="86"/>
        <v>40</v>
      </c>
      <c r="Y249">
        <f t="shared" si="87"/>
        <v>323</v>
      </c>
      <c r="Z249">
        <v>57.995021896532847</v>
      </c>
      <c r="AA249">
        <f t="shared" si="83"/>
        <v>40.089746346787351</v>
      </c>
      <c r="AC249">
        <v>55.25010000000001</v>
      </c>
      <c r="AD249" s="7">
        <f t="shared" si="88"/>
        <v>38.576483481067747</v>
      </c>
      <c r="AF249">
        <v>55.473451797996589</v>
      </c>
      <c r="AG249" s="7">
        <f t="shared" si="84"/>
        <v>37.113573244007682</v>
      </c>
      <c r="AI249">
        <v>47.749999999999993</v>
      </c>
      <c r="AJ249" s="15">
        <f t="shared" si="89"/>
        <v>47.004247999999997</v>
      </c>
      <c r="AL249">
        <v>48.600000000000009</v>
      </c>
      <c r="AM249" s="15">
        <f t="shared" si="90"/>
        <v>47.795832000000004</v>
      </c>
      <c r="AO249">
        <v>41.1</v>
      </c>
      <c r="AP249" s="15">
        <f t="shared" si="85"/>
        <v>40.374451999999998</v>
      </c>
    </row>
    <row r="250" spans="4:42" x14ac:dyDescent="0.2">
      <c r="D250">
        <f t="shared" si="74"/>
        <v>324</v>
      </c>
      <c r="E250" s="7">
        <f t="shared" si="75"/>
        <v>2519.6333802647096</v>
      </c>
      <c r="F250" s="7">
        <f t="shared" si="76"/>
        <v>3018.3157833208888</v>
      </c>
      <c r="G250" s="7">
        <f t="shared" si="77"/>
        <v>2884.3712617836486</v>
      </c>
      <c r="H250" s="7">
        <f t="shared" si="78"/>
        <v>3144.6947232151383</v>
      </c>
      <c r="I250" s="15">
        <f t="shared" si="79"/>
        <v>3495.5546920000002</v>
      </c>
      <c r="J250" s="15">
        <f t="shared" si="80"/>
        <v>3075.1213680000001</v>
      </c>
      <c r="K250" s="15">
        <f t="shared" si="81"/>
        <v>3259.0627920000002</v>
      </c>
      <c r="L250" s="15">
        <f t="shared" si="82"/>
        <v>3159</v>
      </c>
      <c r="M250" s="15">
        <f t="shared" si="86"/>
        <v>3346</v>
      </c>
      <c r="Y250">
        <f t="shared" si="87"/>
        <v>324</v>
      </c>
      <c r="Z250">
        <v>3033.8152666626552</v>
      </c>
      <c r="AA250">
        <f t="shared" si="83"/>
        <v>3018.3157833208888</v>
      </c>
      <c r="AC250">
        <v>3068.805433545363</v>
      </c>
      <c r="AD250" s="7">
        <f t="shared" si="88"/>
        <v>2884.3712617836486</v>
      </c>
      <c r="AF250">
        <v>3150.1787281642669</v>
      </c>
      <c r="AG250" s="7">
        <f t="shared" si="84"/>
        <v>3144.6947232151383</v>
      </c>
      <c r="AI250">
        <v>3510.0000000000005</v>
      </c>
      <c r="AJ250" s="15">
        <f t="shared" si="89"/>
        <v>3495.5546920000002</v>
      </c>
      <c r="AL250">
        <v>3044.4</v>
      </c>
      <c r="AM250" s="15">
        <f t="shared" si="90"/>
        <v>3075.1213680000001</v>
      </c>
      <c r="AO250">
        <v>3294.1839619321863</v>
      </c>
      <c r="AP250" s="15">
        <f t="shared" si="85"/>
        <v>3259.0627920000002</v>
      </c>
    </row>
    <row r="251" spans="4:42" x14ac:dyDescent="0.2">
      <c r="D251">
        <f t="shared" si="74"/>
        <v>325</v>
      </c>
      <c r="E251" s="7">
        <f t="shared" si="75"/>
        <v>1982.3306729500532</v>
      </c>
      <c r="F251" s="7">
        <f t="shared" si="76"/>
        <v>2425.2974275342949</v>
      </c>
      <c r="G251" s="7">
        <f t="shared" si="77"/>
        <v>2577.2858974832011</v>
      </c>
      <c r="H251" s="7">
        <f t="shared" si="78"/>
        <v>2729.1714558311169</v>
      </c>
      <c r="I251" s="15">
        <f t="shared" si="79"/>
        <v>3126.5770039999998</v>
      </c>
      <c r="J251" s="15">
        <f t="shared" si="80"/>
        <v>3246.609152</v>
      </c>
      <c r="K251" s="15">
        <f t="shared" si="81"/>
        <v>2677.7578599999997</v>
      </c>
      <c r="L251" s="15">
        <f t="shared" si="82"/>
        <v>2772</v>
      </c>
      <c r="M251" s="15">
        <f t="shared" si="86"/>
        <v>3069</v>
      </c>
      <c r="Y251">
        <f t="shared" si="87"/>
        <v>325</v>
      </c>
      <c r="Z251">
        <v>2269.4432942787175</v>
      </c>
      <c r="AA251">
        <f t="shared" si="83"/>
        <v>2425.2974275342949</v>
      </c>
      <c r="AC251">
        <v>2502.5291955158073</v>
      </c>
      <c r="AD251" s="7">
        <f t="shared" si="88"/>
        <v>2577.2858974832011</v>
      </c>
      <c r="AF251">
        <v>2511.0000000000005</v>
      </c>
      <c r="AG251" s="7">
        <f t="shared" si="84"/>
        <v>2729.1714558311169</v>
      </c>
      <c r="AI251">
        <v>2824.9999999999995</v>
      </c>
      <c r="AJ251" s="15">
        <f t="shared" si="89"/>
        <v>3126.5770039999998</v>
      </c>
      <c r="AL251">
        <v>2694.63</v>
      </c>
      <c r="AM251" s="15">
        <f t="shared" si="90"/>
        <v>3246.609152</v>
      </c>
      <c r="AO251">
        <v>2234</v>
      </c>
      <c r="AP251" s="15">
        <f t="shared" si="85"/>
        <v>2677.7578599999997</v>
      </c>
    </row>
    <row r="252" spans="4:42" x14ac:dyDescent="0.2">
      <c r="D252">
        <f t="shared" si="74"/>
        <v>326</v>
      </c>
      <c r="E252" s="7">
        <f t="shared" si="75"/>
        <v>128.43055874180072</v>
      </c>
      <c r="F252" s="7">
        <f t="shared" si="76"/>
        <v>150.36582650079393</v>
      </c>
      <c r="G252" s="7">
        <f t="shared" si="77"/>
        <v>125.61488437265322</v>
      </c>
      <c r="H252" s="7">
        <f t="shared" si="78"/>
        <v>141.58522460569185</v>
      </c>
      <c r="I252" s="15">
        <f t="shared" si="79"/>
        <v>144.39999600000002</v>
      </c>
      <c r="J252" s="15">
        <f t="shared" si="80"/>
        <v>166.54642800000002</v>
      </c>
      <c r="K252" s="15">
        <f t="shared" si="81"/>
        <v>153.785552</v>
      </c>
      <c r="L252" s="15">
        <f t="shared" si="82"/>
        <v>116</v>
      </c>
      <c r="M252" s="15">
        <f t="shared" si="86"/>
        <v>104</v>
      </c>
      <c r="Y252">
        <f t="shared" si="87"/>
        <v>326</v>
      </c>
      <c r="Z252">
        <v>147.1333302440305</v>
      </c>
      <c r="AA252">
        <f t="shared" si="83"/>
        <v>150.36582650079393</v>
      </c>
      <c r="AC252">
        <v>122.99999999999999</v>
      </c>
      <c r="AD252" s="7">
        <f t="shared" si="88"/>
        <v>125.61488437265322</v>
      </c>
      <c r="AF252">
        <v>138</v>
      </c>
      <c r="AG252" s="7">
        <f t="shared" si="84"/>
        <v>141.58522460569185</v>
      </c>
      <c r="AI252">
        <v>145.00000000000003</v>
      </c>
      <c r="AJ252" s="15">
        <f t="shared" si="89"/>
        <v>144.39999600000002</v>
      </c>
      <c r="AL252">
        <v>152.4</v>
      </c>
      <c r="AM252" s="15">
        <f t="shared" si="90"/>
        <v>166.54642800000002</v>
      </c>
      <c r="AO252">
        <v>150.25000000000003</v>
      </c>
      <c r="AP252" s="15">
        <f t="shared" si="85"/>
        <v>153.785552</v>
      </c>
    </row>
    <row r="253" spans="4:42" x14ac:dyDescent="0.2">
      <c r="D253">
        <f t="shared" si="74"/>
        <v>327</v>
      </c>
      <c r="E253" s="7">
        <f t="shared" si="75"/>
        <v>791.01545520082436</v>
      </c>
      <c r="F253" s="7">
        <f t="shared" si="76"/>
        <v>884.64406029384702</v>
      </c>
      <c r="G253" s="7">
        <f t="shared" si="77"/>
        <v>788.81428212035598</v>
      </c>
      <c r="H253" s="7">
        <f t="shared" si="78"/>
        <v>822.05619657793363</v>
      </c>
      <c r="I253" s="15">
        <f t="shared" si="79"/>
        <v>834.98687599999994</v>
      </c>
      <c r="J253" s="15">
        <f t="shared" si="80"/>
        <v>910.76708400000007</v>
      </c>
      <c r="K253" s="15">
        <f t="shared" si="81"/>
        <v>958.36588800000004</v>
      </c>
      <c r="L253" s="15">
        <f t="shared" si="82"/>
        <v>600</v>
      </c>
      <c r="M253" s="15">
        <f t="shared" si="86"/>
        <v>699</v>
      </c>
      <c r="Y253">
        <f t="shared" si="87"/>
        <v>327</v>
      </c>
      <c r="Z253">
        <v>850.36157634567508</v>
      </c>
      <c r="AA253">
        <f t="shared" si="83"/>
        <v>884.64406029384702</v>
      </c>
      <c r="AC253">
        <v>788.63758389261773</v>
      </c>
      <c r="AD253" s="7">
        <f t="shared" si="88"/>
        <v>788.81428212035598</v>
      </c>
      <c r="AF253">
        <v>821</v>
      </c>
      <c r="AG253" s="7">
        <f t="shared" si="84"/>
        <v>822.05619657793363</v>
      </c>
      <c r="AI253">
        <v>845.00000000000011</v>
      </c>
      <c r="AJ253" s="15">
        <f t="shared" si="89"/>
        <v>834.98687599999994</v>
      </c>
      <c r="AL253">
        <v>917.99999999999989</v>
      </c>
      <c r="AM253" s="15">
        <f t="shared" si="90"/>
        <v>910.76708400000007</v>
      </c>
      <c r="AO253">
        <v>967</v>
      </c>
      <c r="AP253" s="15">
        <f t="shared" si="85"/>
        <v>958.36588800000004</v>
      </c>
    </row>
    <row r="254" spans="4:42" x14ac:dyDescent="0.2">
      <c r="D254">
        <f t="shared" si="74"/>
        <v>331</v>
      </c>
      <c r="E254" s="7">
        <f t="shared" si="75"/>
        <v>1931.5726855408925</v>
      </c>
      <c r="F254" s="7">
        <f t="shared" si="76"/>
        <v>2134.8918237453663</v>
      </c>
      <c r="G254" s="7">
        <f t="shared" si="77"/>
        <v>1811.54797443144</v>
      </c>
      <c r="H254" s="7">
        <f t="shared" si="78"/>
        <v>2096.657607556745</v>
      </c>
      <c r="I254" s="15">
        <f t="shared" si="79"/>
        <v>2031.356088</v>
      </c>
      <c r="J254" s="15">
        <f t="shared" si="80"/>
        <v>1629.9591760000001</v>
      </c>
      <c r="K254" s="15">
        <f t="shared" si="81"/>
        <v>1285.6831</v>
      </c>
      <c r="L254" s="15">
        <f t="shared" si="82"/>
        <v>1255</v>
      </c>
      <c r="M254" s="15">
        <f t="shared" si="86"/>
        <v>1251</v>
      </c>
      <c r="Y254">
        <f t="shared" si="87"/>
        <v>331</v>
      </c>
      <c r="Z254">
        <v>2316.543394649877</v>
      </c>
      <c r="AA254">
        <f t="shared" si="83"/>
        <v>2134.8918237453663</v>
      </c>
      <c r="AC254">
        <v>1858.7486910994764</v>
      </c>
      <c r="AD254" s="7">
        <f t="shared" si="88"/>
        <v>1811.54797443144</v>
      </c>
      <c r="AF254">
        <v>2217.9999999999995</v>
      </c>
      <c r="AG254" s="7">
        <f t="shared" si="84"/>
        <v>2096.657607556745</v>
      </c>
      <c r="AI254">
        <v>2093</v>
      </c>
      <c r="AJ254" s="15">
        <f t="shared" si="89"/>
        <v>2031.356088</v>
      </c>
      <c r="AL254">
        <v>1583.7875226039782</v>
      </c>
      <c r="AM254" s="15">
        <f t="shared" si="90"/>
        <v>1629.9591760000001</v>
      </c>
      <c r="AO254">
        <v>1245</v>
      </c>
      <c r="AP254" s="15">
        <f t="shared" si="85"/>
        <v>1285.6831</v>
      </c>
    </row>
    <row r="255" spans="4:42" x14ac:dyDescent="0.2">
      <c r="D255">
        <f t="shared" si="74"/>
        <v>332</v>
      </c>
      <c r="E255" s="7">
        <f t="shared" si="75"/>
        <v>218.6220851003327</v>
      </c>
      <c r="F255" s="7">
        <f t="shared" si="76"/>
        <v>251.14969713900282</v>
      </c>
      <c r="G255" s="7">
        <f t="shared" si="77"/>
        <v>217.28105279356296</v>
      </c>
      <c r="H255" s="7">
        <f t="shared" si="78"/>
        <v>263.57968281835372</v>
      </c>
      <c r="I255" s="15">
        <f t="shared" si="79"/>
        <v>265.28541200000001</v>
      </c>
      <c r="J255" s="15">
        <f t="shared" si="80"/>
        <v>226.21632399999999</v>
      </c>
      <c r="K255" s="15">
        <f t="shared" si="81"/>
        <v>253.81542000000002</v>
      </c>
      <c r="L255" s="15">
        <f t="shared" si="82"/>
        <v>174</v>
      </c>
      <c r="M255" s="15">
        <f t="shared" si="86"/>
        <v>201</v>
      </c>
      <c r="Y255">
        <f t="shared" si="87"/>
        <v>332</v>
      </c>
      <c r="Z255">
        <v>240.23437500000003</v>
      </c>
      <c r="AA255">
        <f t="shared" si="83"/>
        <v>251.14969713900282</v>
      </c>
      <c r="AC255">
        <v>209.02439344262294</v>
      </c>
      <c r="AD255" s="7">
        <f t="shared" si="88"/>
        <v>217.28105279356296</v>
      </c>
      <c r="AF255">
        <v>242.9004754650787</v>
      </c>
      <c r="AG255" s="7">
        <f t="shared" si="84"/>
        <v>263.57968281835372</v>
      </c>
      <c r="AI255">
        <v>269.99999999999994</v>
      </c>
      <c r="AJ255" s="15">
        <f t="shared" si="89"/>
        <v>265.28541200000001</v>
      </c>
      <c r="AL255">
        <v>226.89999999999998</v>
      </c>
      <c r="AM255" s="15">
        <f t="shared" si="90"/>
        <v>226.21632399999999</v>
      </c>
      <c r="AO255">
        <v>253.1</v>
      </c>
      <c r="AP255" s="15">
        <f t="shared" si="85"/>
        <v>253.81542000000002</v>
      </c>
    </row>
    <row r="256" spans="4:42" x14ac:dyDescent="0.2">
      <c r="D256">
        <f t="shared" si="74"/>
        <v>333</v>
      </c>
      <c r="E256" s="7">
        <f t="shared" si="75"/>
        <v>118.55685257512636</v>
      </c>
      <c r="F256" s="7">
        <f t="shared" si="76"/>
        <v>138.88393804304263</v>
      </c>
      <c r="G256" s="7">
        <f t="shared" si="77"/>
        <v>113.47965946591772</v>
      </c>
      <c r="H256" s="7">
        <f t="shared" si="78"/>
        <v>112.92234511482371</v>
      </c>
      <c r="I256" s="15">
        <f t="shared" si="79"/>
        <v>116.85666400000001</v>
      </c>
      <c r="J256" s="15">
        <f t="shared" si="80"/>
        <v>91.191044000000005</v>
      </c>
      <c r="K256" s="15">
        <f t="shared" si="81"/>
        <v>93.471671999999998</v>
      </c>
      <c r="L256" s="15">
        <f t="shared" si="82"/>
        <v>78</v>
      </c>
      <c r="M256" s="15">
        <f t="shared" si="86"/>
        <v>84</v>
      </c>
      <c r="Y256">
        <f t="shared" si="87"/>
        <v>333</v>
      </c>
      <c r="Z256">
        <v>164.9545736113979</v>
      </c>
      <c r="AA256">
        <f t="shared" si="83"/>
        <v>138.88393804304263</v>
      </c>
      <c r="AC256">
        <v>135</v>
      </c>
      <c r="AD256" s="7">
        <f t="shared" si="88"/>
        <v>113.47965946591772</v>
      </c>
      <c r="AF256">
        <v>139.56432627059959</v>
      </c>
      <c r="AG256" s="7">
        <f t="shared" si="84"/>
        <v>112.92234511482371</v>
      </c>
      <c r="AI256">
        <v>118.99999999999997</v>
      </c>
      <c r="AJ256" s="15">
        <f t="shared" si="89"/>
        <v>116.85666400000001</v>
      </c>
      <c r="AL256">
        <v>93.5</v>
      </c>
      <c r="AM256" s="15">
        <f t="shared" si="90"/>
        <v>91.191044000000005</v>
      </c>
      <c r="AO256">
        <v>93</v>
      </c>
      <c r="AP256" s="15">
        <f t="shared" si="85"/>
        <v>93.471671999999998</v>
      </c>
    </row>
    <row r="257" spans="4:42" x14ac:dyDescent="0.2">
      <c r="D257">
        <f t="shared" si="74"/>
        <v>334</v>
      </c>
      <c r="E257" s="7">
        <f t="shared" si="75"/>
        <v>54.789455724294967</v>
      </c>
      <c r="F257" s="7">
        <f t="shared" si="76"/>
        <v>62.693189717341816</v>
      </c>
      <c r="G257" s="7">
        <f t="shared" si="77"/>
        <v>56.220714404637988</v>
      </c>
      <c r="H257" s="7">
        <f t="shared" si="78"/>
        <v>66.930484972733723</v>
      </c>
      <c r="I257" s="15">
        <f t="shared" si="79"/>
        <v>67.813715999999999</v>
      </c>
      <c r="J257" s="15">
        <f t="shared" si="80"/>
        <v>69.142976000000004</v>
      </c>
      <c r="K257" s="15">
        <f t="shared" si="81"/>
        <v>47.139291999999998</v>
      </c>
      <c r="L257" s="15">
        <f t="shared" si="82"/>
        <v>43</v>
      </c>
      <c r="M257" s="15">
        <f t="shared" si="86"/>
        <v>50</v>
      </c>
      <c r="Y257">
        <f t="shared" si="87"/>
        <v>334</v>
      </c>
      <c r="Z257">
        <v>64</v>
      </c>
      <c r="AA257">
        <f t="shared" si="83"/>
        <v>62.693189717341816</v>
      </c>
      <c r="AC257">
        <v>57.84</v>
      </c>
      <c r="AD257" s="7">
        <f t="shared" si="88"/>
        <v>56.220714404637988</v>
      </c>
      <c r="AF257">
        <v>55.453215159488536</v>
      </c>
      <c r="AG257" s="7">
        <f t="shared" si="84"/>
        <v>66.930484972733723</v>
      </c>
      <c r="AI257">
        <v>67.5</v>
      </c>
      <c r="AJ257" s="15">
        <f t="shared" si="89"/>
        <v>67.813715999999999</v>
      </c>
      <c r="AL257">
        <v>70.400000000000006</v>
      </c>
      <c r="AM257" s="15">
        <f t="shared" si="90"/>
        <v>69.142976000000004</v>
      </c>
      <c r="AO257">
        <v>48.7</v>
      </c>
      <c r="AP257" s="15">
        <f t="shared" si="85"/>
        <v>47.139291999999998</v>
      </c>
    </row>
    <row r="258" spans="4:42" x14ac:dyDescent="0.2">
      <c r="D258">
        <f t="shared" si="74"/>
        <v>335</v>
      </c>
      <c r="E258" s="7">
        <f t="shared" si="75"/>
        <v>62.919467623803939</v>
      </c>
      <c r="F258" s="7">
        <f t="shared" si="76"/>
        <v>64.55717435203718</v>
      </c>
      <c r="G258" s="7">
        <f t="shared" si="77"/>
        <v>55.611292613491038</v>
      </c>
      <c r="H258" s="7">
        <f t="shared" si="78"/>
        <v>67.848599515192888</v>
      </c>
      <c r="I258" s="15">
        <f t="shared" si="79"/>
        <v>60.671008</v>
      </c>
      <c r="J258" s="15">
        <f t="shared" si="80"/>
        <v>55.569788000000003</v>
      </c>
      <c r="K258" s="15">
        <f t="shared" si="81"/>
        <v>43.097796000000002</v>
      </c>
      <c r="L258" s="15">
        <f t="shared" si="82"/>
        <v>38</v>
      </c>
      <c r="M258" s="15">
        <f t="shared" si="86"/>
        <v>31</v>
      </c>
      <c r="Y258">
        <f t="shared" si="87"/>
        <v>335</v>
      </c>
      <c r="Z258">
        <v>113.85067607289831</v>
      </c>
      <c r="AA258">
        <f t="shared" si="83"/>
        <v>64.55717435203718</v>
      </c>
      <c r="AC258">
        <v>94.898340868611612</v>
      </c>
      <c r="AD258" s="7">
        <f t="shared" si="88"/>
        <v>55.611292613491038</v>
      </c>
      <c r="AF258">
        <v>117.59261285048281</v>
      </c>
      <c r="AG258" s="7">
        <f t="shared" si="84"/>
        <v>67.848599515192888</v>
      </c>
      <c r="AI258">
        <v>93.031378227033059</v>
      </c>
      <c r="AJ258" s="15">
        <f t="shared" si="89"/>
        <v>60.671008</v>
      </c>
      <c r="AL258">
        <v>101.63336599739804</v>
      </c>
      <c r="AM258" s="15">
        <f t="shared" si="90"/>
        <v>55.569788000000003</v>
      </c>
      <c r="AO258">
        <v>59.88341438443819</v>
      </c>
      <c r="AP258" s="15">
        <f t="shared" si="85"/>
        <v>43.097796000000002</v>
      </c>
    </row>
    <row r="259" spans="4:42" x14ac:dyDescent="0.2">
      <c r="D259">
        <f t="shared" si="74"/>
        <v>336</v>
      </c>
      <c r="E259" s="7">
        <f t="shared" si="75"/>
        <v>234.98001273849101</v>
      </c>
      <c r="F259" s="7">
        <f t="shared" si="76"/>
        <v>254.78050349600764</v>
      </c>
      <c r="G259" s="7">
        <f t="shared" si="77"/>
        <v>244.13057132985355</v>
      </c>
      <c r="H259" s="7">
        <f t="shared" si="78"/>
        <v>260.23443301298028</v>
      </c>
      <c r="I259" s="15">
        <f t="shared" si="79"/>
        <v>292.75512400000002</v>
      </c>
      <c r="J259" s="15">
        <f t="shared" si="80"/>
        <v>251.66670399999998</v>
      </c>
      <c r="K259" s="15">
        <f t="shared" si="81"/>
        <v>283.93937199999999</v>
      </c>
      <c r="L259" s="15">
        <f t="shared" si="82"/>
        <v>143</v>
      </c>
      <c r="M259" s="15">
        <f t="shared" si="86"/>
        <v>164</v>
      </c>
      <c r="Y259">
        <f t="shared" si="87"/>
        <v>336</v>
      </c>
      <c r="Z259">
        <v>222.83681208084479</v>
      </c>
      <c r="AA259">
        <f t="shared" si="83"/>
        <v>254.78050349600764</v>
      </c>
      <c r="AC259">
        <v>203.97897897897897</v>
      </c>
      <c r="AD259" s="7">
        <f t="shared" si="88"/>
        <v>244.13057132985355</v>
      </c>
      <c r="AF259">
        <v>231.00000000000006</v>
      </c>
      <c r="AG259" s="7">
        <f t="shared" si="84"/>
        <v>260.23443301298028</v>
      </c>
      <c r="AI259">
        <v>297.00000000000006</v>
      </c>
      <c r="AJ259" s="15">
        <f t="shared" si="89"/>
        <v>292.75512400000002</v>
      </c>
      <c r="AL259">
        <v>255.6</v>
      </c>
      <c r="AM259" s="15">
        <f t="shared" si="90"/>
        <v>251.66670399999998</v>
      </c>
      <c r="AO259">
        <v>282.8</v>
      </c>
      <c r="AP259" s="15">
        <f t="shared" si="85"/>
        <v>283.93937199999999</v>
      </c>
    </row>
    <row r="260" spans="4:42" x14ac:dyDescent="0.2">
      <c r="D260">
        <f t="shared" si="74"/>
        <v>337</v>
      </c>
      <c r="E260" s="7">
        <f t="shared" si="75"/>
        <v>37.383822846973821</v>
      </c>
      <c r="F260" s="7">
        <f t="shared" si="76"/>
        <v>48.640156995919362</v>
      </c>
      <c r="G260" s="7">
        <f t="shared" si="77"/>
        <v>55.8843501953478</v>
      </c>
      <c r="H260" s="7">
        <f t="shared" si="78"/>
        <v>47.300771088826892</v>
      </c>
      <c r="I260" s="15">
        <f t="shared" si="79"/>
        <v>58.499848</v>
      </c>
      <c r="J260" s="15">
        <f t="shared" si="80"/>
        <v>38.904455999999996</v>
      </c>
      <c r="K260" s="15">
        <f t="shared" si="81"/>
        <v>28.391231999999999</v>
      </c>
      <c r="L260" s="15">
        <f t="shared" si="82"/>
        <v>19</v>
      </c>
      <c r="M260" s="15">
        <f t="shared" si="86"/>
        <v>20</v>
      </c>
      <c r="Y260">
        <f t="shared" si="87"/>
        <v>337</v>
      </c>
      <c r="Z260">
        <v>42.960646735814535</v>
      </c>
      <c r="AA260">
        <f t="shared" si="83"/>
        <v>48.640156995919362</v>
      </c>
      <c r="AC260">
        <v>52.000000000000007</v>
      </c>
      <c r="AD260" s="7">
        <f t="shared" si="88"/>
        <v>55.8843501953478</v>
      </c>
      <c r="AF260">
        <v>47.25</v>
      </c>
      <c r="AG260" s="7">
        <f t="shared" si="84"/>
        <v>47.300771088826892</v>
      </c>
      <c r="AI260">
        <v>59.250000000000007</v>
      </c>
      <c r="AJ260" s="15">
        <f t="shared" si="89"/>
        <v>58.499848</v>
      </c>
      <c r="AL260">
        <v>39.70000000000001</v>
      </c>
      <c r="AM260" s="15">
        <f t="shared" si="90"/>
        <v>38.904455999999996</v>
      </c>
      <c r="AO260">
        <v>27.985139548693589</v>
      </c>
      <c r="AP260" s="15">
        <f t="shared" si="85"/>
        <v>28.391231999999999</v>
      </c>
    </row>
    <row r="261" spans="4:42" ht="13.5" thickBot="1" x14ac:dyDescent="0.25">
      <c r="D261">
        <f t="shared" si="74"/>
        <v>339</v>
      </c>
      <c r="E261" s="7">
        <f t="shared" si="75"/>
        <v>33.863505680901589</v>
      </c>
      <c r="F261" s="7">
        <f t="shared" si="76"/>
        <v>45.434393503358493</v>
      </c>
      <c r="G261" s="7">
        <f t="shared" si="77"/>
        <v>34.793804965135031</v>
      </c>
      <c r="H261" s="7">
        <f t="shared" si="78"/>
        <v>48.376910834473634</v>
      </c>
      <c r="I261" s="15">
        <f t="shared" si="79"/>
        <v>47.700868</v>
      </c>
      <c r="J261" s="15">
        <f t="shared" si="80"/>
        <v>35.603912000000001</v>
      </c>
      <c r="K261" s="15">
        <f t="shared" si="81"/>
        <v>32.982075999999999</v>
      </c>
      <c r="L261" s="15">
        <f t="shared" si="82"/>
        <v>17</v>
      </c>
      <c r="M261" s="15">
        <f t="shared" si="86"/>
        <v>28</v>
      </c>
      <c r="Y261" s="1">
        <f t="shared" si="87"/>
        <v>339</v>
      </c>
      <c r="Z261" s="1">
        <v>27</v>
      </c>
      <c r="AA261" s="1">
        <f t="shared" si="83"/>
        <v>45.434393503358493</v>
      </c>
      <c r="AC261">
        <v>19.820322580645165</v>
      </c>
      <c r="AD261" s="7">
        <f t="shared" si="88"/>
        <v>34.793804965135031</v>
      </c>
      <c r="AF261">
        <v>24.71</v>
      </c>
      <c r="AG261" s="7">
        <f t="shared" si="84"/>
        <v>48.376910834473634</v>
      </c>
      <c r="AI261">
        <v>48.250000000000007</v>
      </c>
      <c r="AJ261" s="15">
        <f t="shared" si="89"/>
        <v>47.700868</v>
      </c>
      <c r="AL261">
        <v>36.500000000000014</v>
      </c>
      <c r="AM261" s="15">
        <f t="shared" si="90"/>
        <v>35.603912000000001</v>
      </c>
      <c r="AO261">
        <v>32.6</v>
      </c>
      <c r="AP261" s="15">
        <f t="shared" si="85"/>
        <v>32.982075999999999</v>
      </c>
    </row>
    <row r="262" spans="4:42" x14ac:dyDescent="0.2">
      <c r="E262" s="7">
        <f t="shared" ref="E262:K262" si="91">SUM(E244:E261)</f>
        <v>11405.381661116657</v>
      </c>
      <c r="F262" s="7">
        <f t="shared" si="91"/>
        <v>13042.115484022981</v>
      </c>
      <c r="G262" s="7">
        <f t="shared" si="91"/>
        <v>12599.548369464048</v>
      </c>
      <c r="H262" s="7">
        <f t="shared" si="91"/>
        <v>13805.955934019132</v>
      </c>
      <c r="I262" s="7">
        <f t="shared" si="91"/>
        <v>14659.114711999997</v>
      </c>
      <c r="J262" s="7">
        <f t="shared" si="91"/>
        <v>13433.641368000002</v>
      </c>
      <c r="K262" s="7">
        <f t="shared" si="91"/>
        <v>12805.585636000002</v>
      </c>
      <c r="L262" s="15">
        <f t="shared" si="82"/>
        <v>11795</v>
      </c>
      <c r="M262" s="15">
        <f t="shared" ref="M262" si="92">P236</f>
        <v>12301</v>
      </c>
    </row>
    <row r="268" spans="4:42" x14ac:dyDescent="0.2">
      <c r="E268">
        <f t="shared" ref="E268:L268" si="93">E243</f>
        <v>1985</v>
      </c>
      <c r="F268">
        <f t="shared" si="93"/>
        <v>1988</v>
      </c>
      <c r="G268">
        <f t="shared" si="93"/>
        <v>1991</v>
      </c>
      <c r="H268">
        <f t="shared" si="93"/>
        <v>1994</v>
      </c>
      <c r="I268">
        <f t="shared" si="93"/>
        <v>1998</v>
      </c>
      <c r="J268">
        <f t="shared" si="93"/>
        <v>2002</v>
      </c>
      <c r="K268">
        <f t="shared" si="93"/>
        <v>2006</v>
      </c>
      <c r="L268">
        <f t="shared" si="93"/>
        <v>2010</v>
      </c>
      <c r="M268">
        <v>2014</v>
      </c>
    </row>
    <row r="269" spans="4:42" x14ac:dyDescent="0.2">
      <c r="D269">
        <f>D248</f>
        <v>322</v>
      </c>
      <c r="E269" s="7">
        <f t="shared" ref="E269:J269" si="94">E248</f>
        <v>2017.3632372266716</v>
      </c>
      <c r="F269" s="7">
        <f t="shared" si="94"/>
        <v>2153.9562641132611</v>
      </c>
      <c r="G269" s="7">
        <f t="shared" si="94"/>
        <v>2267.2367478194155</v>
      </c>
      <c r="H269" s="7">
        <f t="shared" si="94"/>
        <v>2406.5414497255788</v>
      </c>
      <c r="I269" s="7">
        <f t="shared" si="94"/>
        <v>2503.918032</v>
      </c>
      <c r="J269" s="7">
        <f t="shared" si="94"/>
        <v>2137.503764</v>
      </c>
      <c r="K269" s="7">
        <f t="shared" ref="K269:L272" si="95">K248</f>
        <v>2106.5685840000001</v>
      </c>
      <c r="L269" s="7">
        <f t="shared" si="95"/>
        <v>1904</v>
      </c>
      <c r="M269" s="7">
        <f t="shared" ref="M269" si="96">M248</f>
        <v>1899</v>
      </c>
    </row>
    <row r="270" spans="4:42" x14ac:dyDescent="0.2">
      <c r="D270">
        <f t="shared" ref="D270:J270" si="97">D249</f>
        <v>323</v>
      </c>
      <c r="E270" s="7">
        <f t="shared" si="97"/>
        <v>26.699079874753146</v>
      </c>
      <c r="F270" s="7">
        <f t="shared" si="97"/>
        <v>40.089746346787351</v>
      </c>
      <c r="G270" s="7">
        <f t="shared" si="97"/>
        <v>38.576483481067747</v>
      </c>
      <c r="H270" s="7">
        <f t="shared" si="97"/>
        <v>37.113573244007682</v>
      </c>
      <c r="I270" s="7">
        <f t="shared" si="97"/>
        <v>47.004247999999997</v>
      </c>
      <c r="J270" s="7">
        <f t="shared" si="97"/>
        <v>47.795832000000004</v>
      </c>
      <c r="K270" s="7">
        <f t="shared" si="95"/>
        <v>40.374451999999998</v>
      </c>
      <c r="L270" s="7">
        <f t="shared" si="95"/>
        <v>36</v>
      </c>
      <c r="M270" s="7">
        <f t="shared" ref="M270" si="98">M249</f>
        <v>40</v>
      </c>
    </row>
    <row r="271" spans="4:42" x14ac:dyDescent="0.2">
      <c r="D271">
        <f t="shared" ref="D271:J271" si="99">D250</f>
        <v>324</v>
      </c>
      <c r="E271" s="7">
        <f t="shared" si="99"/>
        <v>2519.6333802647096</v>
      </c>
      <c r="F271" s="7">
        <f t="shared" si="99"/>
        <v>3018.3157833208888</v>
      </c>
      <c r="G271" s="7">
        <f t="shared" si="99"/>
        <v>2884.3712617836486</v>
      </c>
      <c r="H271" s="7">
        <f t="shared" si="99"/>
        <v>3144.6947232151383</v>
      </c>
      <c r="I271" s="7">
        <f t="shared" si="99"/>
        <v>3495.5546920000002</v>
      </c>
      <c r="J271" s="7">
        <f t="shared" si="99"/>
        <v>3075.1213680000001</v>
      </c>
      <c r="K271" s="7">
        <f t="shared" si="95"/>
        <v>3259.0627920000002</v>
      </c>
      <c r="L271" s="7">
        <f t="shared" si="95"/>
        <v>3159</v>
      </c>
      <c r="M271" s="7">
        <f t="shared" ref="M271" si="100">M250</f>
        <v>3346</v>
      </c>
    </row>
    <row r="272" spans="4:42" x14ac:dyDescent="0.2">
      <c r="D272">
        <f t="shared" ref="D272:J272" si="101">D251</f>
        <v>325</v>
      </c>
      <c r="E272" s="7">
        <f t="shared" si="101"/>
        <v>1982.3306729500532</v>
      </c>
      <c r="F272" s="7">
        <f t="shared" si="101"/>
        <v>2425.2974275342949</v>
      </c>
      <c r="G272" s="7">
        <f t="shared" si="101"/>
        <v>2577.2858974832011</v>
      </c>
      <c r="H272" s="7">
        <f t="shared" si="101"/>
        <v>2729.1714558311169</v>
      </c>
      <c r="I272" s="7">
        <f t="shared" si="101"/>
        <v>3126.5770039999998</v>
      </c>
      <c r="J272" s="7">
        <f t="shared" si="101"/>
        <v>3246.609152</v>
      </c>
      <c r="K272" s="7">
        <f t="shared" si="95"/>
        <v>2677.7578599999997</v>
      </c>
      <c r="L272" s="7">
        <f t="shared" si="95"/>
        <v>2772</v>
      </c>
      <c r="M272" s="7">
        <f t="shared" ref="M272" si="102">M251</f>
        <v>3069</v>
      </c>
    </row>
    <row r="283" spans="5:12" x14ac:dyDescent="0.2">
      <c r="E283" s="7"/>
      <c r="F283" s="7"/>
      <c r="G283" s="7"/>
      <c r="H283" s="7"/>
      <c r="I283" s="7"/>
      <c r="J283" s="7"/>
      <c r="K283" s="7"/>
      <c r="L283" s="7"/>
    </row>
    <row r="284" spans="5:12" x14ac:dyDescent="0.2">
      <c r="E284" s="7"/>
      <c r="F284" s="7"/>
      <c r="G284" s="7"/>
      <c r="H284" s="7"/>
      <c r="I284" s="7"/>
      <c r="J284" s="7"/>
      <c r="K284" s="7"/>
      <c r="L284" s="7"/>
    </row>
    <row r="285" spans="5:12" x14ac:dyDescent="0.2">
      <c r="E285" s="7"/>
      <c r="F285" s="7"/>
      <c r="G285" s="7"/>
      <c r="H285" s="7"/>
      <c r="I285" s="7"/>
      <c r="J285" s="7"/>
      <c r="K285" s="7"/>
      <c r="L285" s="7"/>
    </row>
    <row r="286" spans="5:12" x14ac:dyDescent="0.2">
      <c r="E286" s="7"/>
      <c r="F286" s="7"/>
      <c r="G286" s="7"/>
      <c r="H286" s="7"/>
      <c r="I286" s="7"/>
      <c r="J286" s="7"/>
      <c r="K286" s="7"/>
      <c r="L286" s="7"/>
    </row>
    <row r="287" spans="5:12" x14ac:dyDescent="0.2">
      <c r="E287" s="7"/>
      <c r="F287" s="7"/>
      <c r="G287" s="7"/>
      <c r="H287" s="7"/>
      <c r="I287" s="7"/>
      <c r="J287" s="7"/>
      <c r="K287" s="7"/>
      <c r="L287" s="7"/>
    </row>
    <row r="288" spans="5:12" x14ac:dyDescent="0.2">
      <c r="E288" s="7"/>
      <c r="F288" s="7"/>
      <c r="G288" s="7"/>
      <c r="H288" s="7"/>
      <c r="I288" s="7"/>
      <c r="J288" s="7"/>
      <c r="K288" s="7"/>
      <c r="L288" s="7"/>
    </row>
    <row r="293" spans="4:13" x14ac:dyDescent="0.2">
      <c r="E293">
        <f t="shared" ref="E293:L293" si="103">E243</f>
        <v>1985</v>
      </c>
      <c r="F293">
        <f t="shared" si="103"/>
        <v>1988</v>
      </c>
      <c r="G293">
        <f t="shared" si="103"/>
        <v>1991</v>
      </c>
      <c r="H293">
        <f t="shared" si="103"/>
        <v>1994</v>
      </c>
      <c r="I293">
        <f t="shared" si="103"/>
        <v>1998</v>
      </c>
      <c r="J293">
        <f t="shared" si="103"/>
        <v>2002</v>
      </c>
      <c r="K293">
        <f t="shared" si="103"/>
        <v>2006</v>
      </c>
      <c r="L293">
        <f t="shared" si="103"/>
        <v>2010</v>
      </c>
      <c r="M293">
        <v>2014</v>
      </c>
    </row>
    <row r="294" spans="4:13" x14ac:dyDescent="0.2">
      <c r="D294">
        <f t="shared" ref="D294:J297" si="104">D252</f>
        <v>326</v>
      </c>
      <c r="E294" s="7">
        <f t="shared" si="104"/>
        <v>128.43055874180072</v>
      </c>
      <c r="F294" s="7">
        <f t="shared" si="104"/>
        <v>150.36582650079393</v>
      </c>
      <c r="G294" s="7">
        <f t="shared" si="104"/>
        <v>125.61488437265322</v>
      </c>
      <c r="H294" s="7">
        <f t="shared" si="104"/>
        <v>141.58522460569185</v>
      </c>
      <c r="I294" s="7">
        <f t="shared" si="104"/>
        <v>144.39999600000002</v>
      </c>
      <c r="J294" s="7">
        <f t="shared" si="104"/>
        <v>166.54642800000002</v>
      </c>
      <c r="K294" s="7">
        <f t="shared" ref="K294:L297" si="105">K252</f>
        <v>153.785552</v>
      </c>
      <c r="L294" s="7">
        <f t="shared" si="105"/>
        <v>116</v>
      </c>
      <c r="M294" s="7">
        <f t="shared" ref="M294" si="106">M252</f>
        <v>104</v>
      </c>
    </row>
    <row r="295" spans="4:13" x14ac:dyDescent="0.2">
      <c r="D295">
        <f t="shared" si="104"/>
        <v>327</v>
      </c>
      <c r="E295" s="7">
        <f t="shared" si="104"/>
        <v>791.01545520082436</v>
      </c>
      <c r="F295" s="7">
        <f t="shared" si="104"/>
        <v>884.64406029384702</v>
      </c>
      <c r="G295" s="7">
        <f t="shared" si="104"/>
        <v>788.81428212035598</v>
      </c>
      <c r="H295" s="7">
        <f t="shared" si="104"/>
        <v>822.05619657793363</v>
      </c>
      <c r="I295" s="7">
        <f t="shared" si="104"/>
        <v>834.98687599999994</v>
      </c>
      <c r="J295" s="7">
        <f t="shared" si="104"/>
        <v>910.76708400000007</v>
      </c>
      <c r="K295" s="7">
        <f t="shared" si="105"/>
        <v>958.36588800000004</v>
      </c>
      <c r="L295" s="7">
        <f t="shared" si="105"/>
        <v>600</v>
      </c>
      <c r="M295" s="7">
        <f t="shared" ref="M295" si="107">M253</f>
        <v>699</v>
      </c>
    </row>
    <row r="296" spans="4:13" x14ac:dyDescent="0.2">
      <c r="D296">
        <f t="shared" si="104"/>
        <v>331</v>
      </c>
      <c r="E296" s="7">
        <f t="shared" si="104"/>
        <v>1931.5726855408925</v>
      </c>
      <c r="F296" s="7">
        <f t="shared" si="104"/>
        <v>2134.8918237453663</v>
      </c>
      <c r="G296" s="7">
        <f t="shared" si="104"/>
        <v>1811.54797443144</v>
      </c>
      <c r="H296" s="7">
        <f t="shared" si="104"/>
        <v>2096.657607556745</v>
      </c>
      <c r="I296" s="7">
        <f t="shared" si="104"/>
        <v>2031.356088</v>
      </c>
      <c r="J296" s="7">
        <f t="shared" si="104"/>
        <v>1629.9591760000001</v>
      </c>
      <c r="K296" s="7">
        <f t="shared" si="105"/>
        <v>1285.6831</v>
      </c>
      <c r="L296" s="7">
        <f t="shared" si="105"/>
        <v>1255</v>
      </c>
      <c r="M296" s="7">
        <f t="shared" ref="M296" si="108">M254</f>
        <v>1251</v>
      </c>
    </row>
    <row r="297" spans="4:13" x14ac:dyDescent="0.2">
      <c r="D297">
        <f t="shared" si="104"/>
        <v>332</v>
      </c>
      <c r="E297" s="7">
        <f t="shared" si="104"/>
        <v>218.6220851003327</v>
      </c>
      <c r="F297" s="7">
        <f t="shared" si="104"/>
        <v>251.14969713900282</v>
      </c>
      <c r="G297" s="7">
        <f t="shared" si="104"/>
        <v>217.28105279356296</v>
      </c>
      <c r="H297" s="7">
        <f t="shared" si="104"/>
        <v>263.57968281835372</v>
      </c>
      <c r="I297" s="7">
        <f t="shared" si="104"/>
        <v>265.28541200000001</v>
      </c>
      <c r="J297" s="7">
        <f t="shared" si="104"/>
        <v>226.21632399999999</v>
      </c>
      <c r="K297" s="7">
        <f t="shared" si="105"/>
        <v>253.81542000000002</v>
      </c>
      <c r="L297" s="7">
        <f t="shared" si="105"/>
        <v>174</v>
      </c>
      <c r="M297" s="7">
        <f t="shared" ref="M297" si="109">M255</f>
        <v>201</v>
      </c>
    </row>
    <row r="318" spans="4:13" x14ac:dyDescent="0.2">
      <c r="E318">
        <f t="shared" ref="E318:L318" si="110">E243</f>
        <v>1985</v>
      </c>
      <c r="F318">
        <f t="shared" si="110"/>
        <v>1988</v>
      </c>
      <c r="G318">
        <f t="shared" si="110"/>
        <v>1991</v>
      </c>
      <c r="H318">
        <f t="shared" si="110"/>
        <v>1994</v>
      </c>
      <c r="I318">
        <f t="shared" si="110"/>
        <v>1998</v>
      </c>
      <c r="J318">
        <f t="shared" si="110"/>
        <v>2002</v>
      </c>
      <c r="K318">
        <f t="shared" si="110"/>
        <v>2006</v>
      </c>
      <c r="L318">
        <f t="shared" si="110"/>
        <v>2010</v>
      </c>
      <c r="M318">
        <v>2014</v>
      </c>
    </row>
    <row r="319" spans="4:13" x14ac:dyDescent="0.2">
      <c r="D319">
        <f t="shared" ref="D319:J322" si="111">D256</f>
        <v>333</v>
      </c>
      <c r="E319" s="7">
        <f t="shared" si="111"/>
        <v>118.55685257512636</v>
      </c>
      <c r="F319" s="7">
        <f t="shared" si="111"/>
        <v>138.88393804304263</v>
      </c>
      <c r="G319" s="7">
        <f t="shared" si="111"/>
        <v>113.47965946591772</v>
      </c>
      <c r="H319" s="7">
        <f t="shared" si="111"/>
        <v>112.92234511482371</v>
      </c>
      <c r="I319" s="7">
        <f t="shared" si="111"/>
        <v>116.85666400000001</v>
      </c>
      <c r="J319" s="7">
        <f t="shared" si="111"/>
        <v>91.191044000000005</v>
      </c>
      <c r="K319" s="7">
        <f t="shared" ref="K319:L322" si="112">K256</f>
        <v>93.471671999999998</v>
      </c>
      <c r="L319" s="7">
        <f t="shared" si="112"/>
        <v>78</v>
      </c>
      <c r="M319" s="7">
        <f t="shared" ref="M319" si="113">M256</f>
        <v>84</v>
      </c>
    </row>
    <row r="320" spans="4:13" x14ac:dyDescent="0.2">
      <c r="D320">
        <f t="shared" si="111"/>
        <v>334</v>
      </c>
      <c r="E320" s="7">
        <f t="shared" si="111"/>
        <v>54.789455724294967</v>
      </c>
      <c r="F320" s="7">
        <f t="shared" si="111"/>
        <v>62.693189717341816</v>
      </c>
      <c r="G320" s="7">
        <f t="shared" si="111"/>
        <v>56.220714404637988</v>
      </c>
      <c r="H320" s="7">
        <f t="shared" si="111"/>
        <v>66.930484972733723</v>
      </c>
      <c r="I320" s="7">
        <f t="shared" si="111"/>
        <v>67.813715999999999</v>
      </c>
      <c r="J320" s="7">
        <f t="shared" si="111"/>
        <v>69.142976000000004</v>
      </c>
      <c r="K320" s="7">
        <f t="shared" si="112"/>
        <v>47.139291999999998</v>
      </c>
      <c r="L320" s="7">
        <f t="shared" si="112"/>
        <v>43</v>
      </c>
      <c r="M320" s="7">
        <f t="shared" ref="M320" si="114">M257</f>
        <v>50</v>
      </c>
    </row>
    <row r="321" spans="4:13" x14ac:dyDescent="0.2">
      <c r="D321">
        <f t="shared" si="111"/>
        <v>335</v>
      </c>
      <c r="E321" s="7">
        <f t="shared" si="111"/>
        <v>62.919467623803939</v>
      </c>
      <c r="F321" s="7">
        <f t="shared" si="111"/>
        <v>64.55717435203718</v>
      </c>
      <c r="G321" s="7">
        <f t="shared" si="111"/>
        <v>55.611292613491038</v>
      </c>
      <c r="H321" s="7">
        <f t="shared" si="111"/>
        <v>67.848599515192888</v>
      </c>
      <c r="I321" s="7">
        <f t="shared" si="111"/>
        <v>60.671008</v>
      </c>
      <c r="J321" s="7">
        <f t="shared" si="111"/>
        <v>55.569788000000003</v>
      </c>
      <c r="K321" s="7">
        <f t="shared" si="112"/>
        <v>43.097796000000002</v>
      </c>
      <c r="L321" s="7">
        <f t="shared" si="112"/>
        <v>38</v>
      </c>
      <c r="M321" s="7">
        <f t="shared" ref="M321" si="115">M258</f>
        <v>31</v>
      </c>
    </row>
    <row r="322" spans="4:13" x14ac:dyDescent="0.2">
      <c r="D322">
        <f t="shared" si="111"/>
        <v>336</v>
      </c>
      <c r="E322" s="7">
        <f t="shared" si="111"/>
        <v>234.98001273849101</v>
      </c>
      <c r="F322" s="7">
        <f t="shared" si="111"/>
        <v>254.78050349600764</v>
      </c>
      <c r="G322" s="7">
        <f t="shared" si="111"/>
        <v>244.13057132985355</v>
      </c>
      <c r="H322" s="7">
        <f t="shared" si="111"/>
        <v>260.23443301298028</v>
      </c>
      <c r="I322" s="7">
        <f t="shared" si="111"/>
        <v>292.75512400000002</v>
      </c>
      <c r="J322" s="7">
        <f t="shared" si="111"/>
        <v>251.66670399999998</v>
      </c>
      <c r="K322" s="7">
        <f t="shared" si="112"/>
        <v>283.93937199999999</v>
      </c>
      <c r="L322" s="7">
        <f t="shared" si="112"/>
        <v>143</v>
      </c>
      <c r="M322" s="7">
        <f t="shared" ref="M322" si="116">M259</f>
        <v>164</v>
      </c>
    </row>
    <row r="342" spans="4:13" x14ac:dyDescent="0.2">
      <c r="E342">
        <f t="shared" ref="E342:L342" si="117">E243</f>
        <v>1985</v>
      </c>
      <c r="F342">
        <f t="shared" si="117"/>
        <v>1988</v>
      </c>
      <c r="G342">
        <f t="shared" si="117"/>
        <v>1991</v>
      </c>
      <c r="H342">
        <f t="shared" si="117"/>
        <v>1994</v>
      </c>
      <c r="I342">
        <f t="shared" si="117"/>
        <v>1998</v>
      </c>
      <c r="J342">
        <f t="shared" si="117"/>
        <v>2002</v>
      </c>
      <c r="K342">
        <f t="shared" si="117"/>
        <v>2006</v>
      </c>
      <c r="L342">
        <f t="shared" si="117"/>
        <v>2010</v>
      </c>
      <c r="M342">
        <v>2014</v>
      </c>
    </row>
    <row r="343" spans="4:13" x14ac:dyDescent="0.2">
      <c r="D343">
        <f t="shared" ref="D343:J344" si="118">D260</f>
        <v>337</v>
      </c>
      <c r="E343" s="7">
        <f t="shared" si="118"/>
        <v>37.383822846973821</v>
      </c>
      <c r="F343" s="7">
        <f t="shared" si="118"/>
        <v>48.640156995919362</v>
      </c>
      <c r="G343" s="7">
        <f t="shared" si="118"/>
        <v>55.8843501953478</v>
      </c>
      <c r="H343" s="7">
        <f t="shared" si="118"/>
        <v>47.300771088826892</v>
      </c>
      <c r="I343" s="7">
        <f t="shared" si="118"/>
        <v>58.499848</v>
      </c>
      <c r="J343" s="7">
        <f t="shared" si="118"/>
        <v>38.904455999999996</v>
      </c>
      <c r="K343" s="7">
        <f t="shared" ref="K343:M344" si="119">K260</f>
        <v>28.391231999999999</v>
      </c>
      <c r="L343" s="7">
        <f t="shared" si="119"/>
        <v>19</v>
      </c>
      <c r="M343" s="7">
        <f t="shared" si="119"/>
        <v>20</v>
      </c>
    </row>
    <row r="344" spans="4:13" x14ac:dyDescent="0.2">
      <c r="D344">
        <f t="shared" si="118"/>
        <v>339</v>
      </c>
      <c r="E344" s="7">
        <f t="shared" si="118"/>
        <v>33.863505680901589</v>
      </c>
      <c r="F344" s="7">
        <f t="shared" si="118"/>
        <v>45.434393503358493</v>
      </c>
      <c r="G344" s="7">
        <f t="shared" si="118"/>
        <v>34.793804965135031</v>
      </c>
      <c r="H344" s="7">
        <f t="shared" si="118"/>
        <v>48.376910834473634</v>
      </c>
      <c r="I344" s="7">
        <f t="shared" si="118"/>
        <v>47.700868</v>
      </c>
      <c r="J344" s="7">
        <f t="shared" si="118"/>
        <v>35.603912000000001</v>
      </c>
      <c r="K344" s="7">
        <f t="shared" si="119"/>
        <v>32.982075999999999</v>
      </c>
      <c r="L344" s="7">
        <f t="shared" si="119"/>
        <v>17</v>
      </c>
      <c r="M344" s="7">
        <f t="shared" si="119"/>
        <v>28</v>
      </c>
    </row>
  </sheetData>
  <phoneticPr fontId="9"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C100"/>
  <sheetViews>
    <sheetView workbookViewId="0">
      <selection activeCell="C10" sqref="C10"/>
    </sheetView>
  </sheetViews>
  <sheetFormatPr defaultRowHeight="12.75" x14ac:dyDescent="0.2"/>
  <cols>
    <col min="2" max="2" width="15.28515625" customWidth="1"/>
  </cols>
  <sheetData>
    <row r="1" spans="1:55" ht="13.5" thickBot="1" x14ac:dyDescent="0.25">
      <c r="A1" t="s">
        <v>339</v>
      </c>
      <c r="D1">
        <v>1985</v>
      </c>
      <c r="F1">
        <v>1986</v>
      </c>
      <c r="H1">
        <v>1987</v>
      </c>
      <c r="J1">
        <v>1988</v>
      </c>
      <c r="L1">
        <v>1989</v>
      </c>
      <c r="N1">
        <v>1990</v>
      </c>
      <c r="P1">
        <v>1991</v>
      </c>
      <c r="S1" t="s">
        <v>23</v>
      </c>
      <c r="T1">
        <v>1985</v>
      </c>
      <c r="U1">
        <f t="shared" ref="U1:Z1" si="0">T1+1</f>
        <v>1986</v>
      </c>
      <c r="V1">
        <f t="shared" si="0"/>
        <v>1987</v>
      </c>
      <c r="W1">
        <f t="shared" si="0"/>
        <v>1988</v>
      </c>
      <c r="X1">
        <f t="shared" si="0"/>
        <v>1989</v>
      </c>
      <c r="Y1">
        <f t="shared" si="0"/>
        <v>1990</v>
      </c>
      <c r="Z1">
        <f t="shared" si="0"/>
        <v>1991</v>
      </c>
      <c r="AB1" t="s">
        <v>2</v>
      </c>
      <c r="AC1" t="s">
        <v>3</v>
      </c>
      <c r="AG1" s="1">
        <v>1985</v>
      </c>
      <c r="AH1" s="1">
        <f t="shared" ref="AH1:AM1" si="1">U1</f>
        <v>1986</v>
      </c>
      <c r="AI1" s="1">
        <f t="shared" si="1"/>
        <v>1987</v>
      </c>
      <c r="AJ1" s="1">
        <f t="shared" si="1"/>
        <v>1988</v>
      </c>
      <c r="AK1" s="1">
        <f t="shared" si="1"/>
        <v>1989</v>
      </c>
      <c r="AL1" s="1">
        <f t="shared" si="1"/>
        <v>1990</v>
      </c>
      <c r="AM1" s="1">
        <f t="shared" si="1"/>
        <v>1991</v>
      </c>
      <c r="AP1">
        <v>1985</v>
      </c>
      <c r="AS1" s="31">
        <v>1986</v>
      </c>
      <c r="AV1">
        <v>1987</v>
      </c>
    </row>
    <row r="2" spans="1:55" x14ac:dyDescent="0.2">
      <c r="A2" t="s">
        <v>340</v>
      </c>
      <c r="C2">
        <v>1</v>
      </c>
      <c r="T2">
        <v>0</v>
      </c>
      <c r="U2">
        <v>0</v>
      </c>
      <c r="V2">
        <v>0</v>
      </c>
      <c r="W2">
        <v>0</v>
      </c>
      <c r="X2">
        <v>0</v>
      </c>
      <c r="Y2">
        <v>0</v>
      </c>
      <c r="Z2">
        <v>0</v>
      </c>
      <c r="AB2">
        <v>1</v>
      </c>
      <c r="AC2">
        <v>19</v>
      </c>
      <c r="AE2" s="2" t="s">
        <v>12</v>
      </c>
      <c r="AF2">
        <v>1</v>
      </c>
      <c r="AG2">
        <f t="shared" ref="AG2:AM2" si="2">SUMIF($AC2:$AC76,"=1",T$2:T$76)</f>
        <v>46780.200000000004</v>
      </c>
      <c r="AH2">
        <f t="shared" si="2"/>
        <v>47581.1</v>
      </c>
      <c r="AI2">
        <f t="shared" si="2"/>
        <v>51528</v>
      </c>
      <c r="AJ2">
        <f t="shared" si="2"/>
        <v>52901.1</v>
      </c>
      <c r="AK2">
        <f t="shared" si="2"/>
        <v>53318.3</v>
      </c>
      <c r="AL2">
        <f t="shared" si="2"/>
        <v>53726.700000000004</v>
      </c>
      <c r="AM2">
        <f t="shared" si="2"/>
        <v>55248.5</v>
      </c>
      <c r="AO2" t="s">
        <v>123</v>
      </c>
      <c r="AP2">
        <v>45293.9</v>
      </c>
      <c r="AS2">
        <v>46172.1</v>
      </c>
      <c r="AV2">
        <f>F79</f>
        <v>50001.2</v>
      </c>
    </row>
    <row r="3" spans="1:55" x14ac:dyDescent="0.2">
      <c r="C3">
        <v>2</v>
      </c>
      <c r="T3">
        <v>0</v>
      </c>
      <c r="U3">
        <v>0</v>
      </c>
      <c r="V3">
        <v>0</v>
      </c>
      <c r="W3">
        <v>0</v>
      </c>
      <c r="X3">
        <v>0</v>
      </c>
      <c r="Y3">
        <v>0</v>
      </c>
      <c r="Z3">
        <v>0</v>
      </c>
      <c r="AB3">
        <f>AB2+1</f>
        <v>2</v>
      </c>
      <c r="AC3">
        <v>19</v>
      </c>
      <c r="AE3" s="2" t="s">
        <v>13</v>
      </c>
      <c r="AF3">
        <f>AF2+1</f>
        <v>2</v>
      </c>
      <c r="AG3">
        <f>SUMIF($AC$2:$AC$76,"=2",T$2:T$76)</f>
        <v>26885.1</v>
      </c>
      <c r="AH3">
        <f t="shared" ref="AH3:AM3" si="3">SUMIF($AC$2:$AC$76,"=2",U$2:U$76)</f>
        <v>27792.800000000003</v>
      </c>
      <c r="AI3">
        <f t="shared" si="3"/>
        <v>31308.9</v>
      </c>
      <c r="AJ3">
        <f t="shared" si="3"/>
        <v>31459.9</v>
      </c>
      <c r="AK3">
        <f t="shared" si="3"/>
        <v>32018.6</v>
      </c>
      <c r="AL3">
        <f t="shared" si="3"/>
        <v>31047.7</v>
      </c>
      <c r="AM3">
        <f t="shared" si="3"/>
        <v>31391</v>
      </c>
      <c r="AO3">
        <v>21</v>
      </c>
      <c r="AP3">
        <v>1486.3</v>
      </c>
      <c r="AQ3" s="40">
        <f>AP2+AP3</f>
        <v>46780.200000000004</v>
      </c>
      <c r="AS3">
        <v>1409</v>
      </c>
      <c r="AT3" s="40">
        <f>AS2+AS3</f>
        <v>47581.1</v>
      </c>
      <c r="AV3">
        <f t="shared" ref="AV3:AV21" si="4">F80</f>
        <v>1526.8</v>
      </c>
      <c r="AW3" s="40">
        <f>AV2+AV3</f>
        <v>51528</v>
      </c>
    </row>
    <row r="4" spans="1:55" x14ac:dyDescent="0.2">
      <c r="C4">
        <v>3</v>
      </c>
      <c r="T4">
        <v>0</v>
      </c>
      <c r="U4">
        <v>0</v>
      </c>
      <c r="V4">
        <v>0</v>
      </c>
      <c r="W4">
        <v>0</v>
      </c>
      <c r="X4">
        <v>0</v>
      </c>
      <c r="Y4">
        <v>0</v>
      </c>
      <c r="Z4">
        <v>0</v>
      </c>
      <c r="AB4">
        <f t="shared" ref="AB4:AB67" si="5">AB3+1</f>
        <v>3</v>
      </c>
      <c r="AC4">
        <v>19</v>
      </c>
      <c r="AE4" s="2" t="s">
        <v>14</v>
      </c>
      <c r="AF4">
        <f t="shared" ref="AF4:AF19" si="6">AF3+1</f>
        <v>3</v>
      </c>
      <c r="AG4">
        <f>SUMIF($AC$2:$AC$76,"=3",T$2:T$76)</f>
        <v>5811.7</v>
      </c>
      <c r="AH4">
        <f t="shared" ref="AH4:AM4" si="7">SUMIF($AC$2:$AC$76,"=3",U$2:U$76)</f>
        <v>5862.2</v>
      </c>
      <c r="AI4">
        <f t="shared" si="7"/>
        <v>5935.9</v>
      </c>
      <c r="AJ4">
        <f t="shared" si="7"/>
        <v>6117.5</v>
      </c>
      <c r="AK4">
        <f t="shared" si="7"/>
        <v>5150.6000000000004</v>
      </c>
      <c r="AL4">
        <f t="shared" si="7"/>
        <v>4978.2</v>
      </c>
      <c r="AM4">
        <f t="shared" si="7"/>
        <v>4790.2999999999993</v>
      </c>
      <c r="AO4">
        <f>AO3+1</f>
        <v>22</v>
      </c>
      <c r="AP4">
        <v>25525.1</v>
      </c>
      <c r="AQ4" s="40">
        <f>AP4</f>
        <v>25525.1</v>
      </c>
      <c r="AS4">
        <v>26380.400000000001</v>
      </c>
      <c r="AT4" s="40">
        <f>AS4</f>
        <v>26380.400000000001</v>
      </c>
      <c r="AV4">
        <f t="shared" si="4"/>
        <v>29624.5</v>
      </c>
      <c r="AW4" s="40">
        <f>AV4</f>
        <v>29624.5</v>
      </c>
    </row>
    <row r="5" spans="1:55" x14ac:dyDescent="0.2">
      <c r="C5">
        <v>4</v>
      </c>
      <c r="T5">
        <v>0</v>
      </c>
      <c r="U5">
        <v>0</v>
      </c>
      <c r="V5">
        <v>0</v>
      </c>
      <c r="W5">
        <v>0</v>
      </c>
      <c r="X5">
        <v>0</v>
      </c>
      <c r="Y5">
        <v>0</v>
      </c>
      <c r="Z5">
        <v>0</v>
      </c>
      <c r="AB5">
        <f t="shared" si="5"/>
        <v>4</v>
      </c>
      <c r="AC5">
        <v>19</v>
      </c>
      <c r="AE5">
        <v>321</v>
      </c>
      <c r="AF5">
        <f t="shared" si="6"/>
        <v>4</v>
      </c>
      <c r="AG5">
        <f>SUMIF($AC$2:$AC$76,"=4",T$2:T$76)</f>
        <v>16765.5</v>
      </c>
      <c r="AH5">
        <f t="shared" ref="AH5:AM5" si="8">SUMIF($AC$2:$AC$76,"=4",U$2:U$76)</f>
        <v>17759.600000000002</v>
      </c>
      <c r="AI5">
        <f t="shared" si="8"/>
        <v>20763</v>
      </c>
      <c r="AJ5">
        <f t="shared" si="8"/>
        <v>21569.8</v>
      </c>
      <c r="AK5">
        <f t="shared" si="8"/>
        <v>21144.399999999998</v>
      </c>
      <c r="AL5">
        <f t="shared" si="8"/>
        <v>21161.9</v>
      </c>
      <c r="AM5">
        <f t="shared" si="8"/>
        <v>20564.899999999998</v>
      </c>
      <c r="AO5">
        <f t="shared" ref="AO5:AO21" si="9">AO4+1</f>
        <v>23</v>
      </c>
      <c r="AP5">
        <v>6131.4</v>
      </c>
      <c r="AQ5">
        <f>AP5+AP13</f>
        <v>7171.5999999999995</v>
      </c>
      <c r="AS5">
        <v>6305.1</v>
      </c>
      <c r="AT5" s="40">
        <f>AS5+AS13</f>
        <v>7274.6</v>
      </c>
      <c r="AV5">
        <f t="shared" si="4"/>
        <v>6595.2</v>
      </c>
      <c r="AW5" s="40">
        <f>AV5+AV13</f>
        <v>7620.2999999999993</v>
      </c>
    </row>
    <row r="6" spans="1:55" x14ac:dyDescent="0.2">
      <c r="C6">
        <v>5</v>
      </c>
      <c r="T6">
        <v>0</v>
      </c>
      <c r="U6">
        <v>0</v>
      </c>
      <c r="V6">
        <v>0</v>
      </c>
      <c r="W6">
        <v>0</v>
      </c>
      <c r="X6">
        <v>0</v>
      </c>
      <c r="Y6">
        <v>0</v>
      </c>
      <c r="Z6">
        <v>0</v>
      </c>
      <c r="AB6">
        <f t="shared" si="5"/>
        <v>5</v>
      </c>
      <c r="AC6">
        <v>19</v>
      </c>
      <c r="AE6">
        <v>322</v>
      </c>
      <c r="AF6">
        <f t="shared" si="6"/>
        <v>5</v>
      </c>
      <c r="AG6">
        <f>SUMIF($AC$2:$AC$76,"=5",T$2:T$76)</f>
        <v>52449.200000000004</v>
      </c>
      <c r="AH6">
        <f t="shared" ref="AH6:AM6" si="10">SUMIF($AC$2:$AC$76,"=5",U$2:U$76)</f>
        <v>58291.4</v>
      </c>
      <c r="AI6">
        <f t="shared" si="10"/>
        <v>59247.7</v>
      </c>
      <c r="AJ6">
        <f t="shared" si="10"/>
        <v>60188.1</v>
      </c>
      <c r="AK6">
        <f t="shared" si="10"/>
        <v>62032</v>
      </c>
      <c r="AL6">
        <f t="shared" si="10"/>
        <v>65781.7</v>
      </c>
      <c r="AM6">
        <f t="shared" si="10"/>
        <v>66899.400000000009</v>
      </c>
      <c r="AO6">
        <f t="shared" si="9"/>
        <v>24</v>
      </c>
      <c r="AP6">
        <v>16765.5</v>
      </c>
      <c r="AQ6" s="40">
        <f t="shared" ref="AQ6:AQ12" si="11">AP6</f>
        <v>16765.5</v>
      </c>
      <c r="AS6">
        <v>17759.599999999999</v>
      </c>
      <c r="AT6" s="40">
        <f t="shared" ref="AT6:AT12" si="12">AS6</f>
        <v>17759.599999999999</v>
      </c>
      <c r="AV6">
        <f t="shared" si="4"/>
        <v>20763</v>
      </c>
      <c r="AW6" s="40">
        <f t="shared" ref="AW6:AW12" si="13">AV6</f>
        <v>20763</v>
      </c>
    </row>
    <row r="7" spans="1:55" x14ac:dyDescent="0.2">
      <c r="C7">
        <v>6</v>
      </c>
      <c r="T7">
        <v>0</v>
      </c>
      <c r="U7">
        <v>0</v>
      </c>
      <c r="V7">
        <v>0</v>
      </c>
      <c r="W7">
        <v>0</v>
      </c>
      <c r="X7">
        <v>0</v>
      </c>
      <c r="Y7">
        <v>0</v>
      </c>
      <c r="Z7">
        <v>0</v>
      </c>
      <c r="AB7">
        <f t="shared" si="5"/>
        <v>6</v>
      </c>
      <c r="AC7">
        <v>19</v>
      </c>
      <c r="AE7">
        <v>323</v>
      </c>
      <c r="AF7">
        <f t="shared" si="6"/>
        <v>6</v>
      </c>
      <c r="AG7">
        <f>SUMIF($AC$2:$AC$76,"=6",T$2:T$76)</f>
        <v>12382.5</v>
      </c>
      <c r="AH7">
        <f t="shared" ref="AH7:AM7" si="14">SUMIF($AC$2:$AC$76,"=6",U$2:U$76)</f>
        <v>13202.3</v>
      </c>
      <c r="AI7">
        <f t="shared" si="14"/>
        <v>15008.05</v>
      </c>
      <c r="AJ7">
        <f t="shared" si="14"/>
        <v>16813.8</v>
      </c>
      <c r="AK7">
        <f t="shared" si="14"/>
        <v>16663.599999999999</v>
      </c>
      <c r="AL7">
        <f t="shared" si="14"/>
        <v>17356.599999999999</v>
      </c>
      <c r="AM7">
        <f t="shared" si="14"/>
        <v>17095.5</v>
      </c>
      <c r="AO7">
        <f t="shared" si="9"/>
        <v>25</v>
      </c>
      <c r="AP7">
        <v>4475.2</v>
      </c>
      <c r="AQ7" s="40">
        <f t="shared" si="11"/>
        <v>4475.2</v>
      </c>
      <c r="AS7">
        <v>4678.5</v>
      </c>
      <c r="AT7" s="40">
        <f t="shared" si="12"/>
        <v>4678.5</v>
      </c>
      <c r="AV7">
        <f t="shared" si="4"/>
        <v>5712.8</v>
      </c>
      <c r="AW7" s="40">
        <f t="shared" si="13"/>
        <v>5712.8</v>
      </c>
      <c r="BC7">
        <v>1977</v>
      </c>
    </row>
    <row r="8" spans="1:55" x14ac:dyDescent="0.2">
      <c r="C8">
        <v>7</v>
      </c>
      <c r="T8">
        <v>0</v>
      </c>
      <c r="U8">
        <v>0</v>
      </c>
      <c r="V8">
        <v>0</v>
      </c>
      <c r="W8">
        <v>0</v>
      </c>
      <c r="X8">
        <v>0</v>
      </c>
      <c r="Y8">
        <v>0</v>
      </c>
      <c r="Z8">
        <v>0</v>
      </c>
      <c r="AB8">
        <f t="shared" si="5"/>
        <v>7</v>
      </c>
      <c r="AC8">
        <v>19</v>
      </c>
      <c r="AE8">
        <v>324</v>
      </c>
      <c r="AF8">
        <f t="shared" si="6"/>
        <v>7</v>
      </c>
      <c r="AG8">
        <f>SUMIF($AC$2:$AC$76,"=7",T$2:T$76)</f>
        <v>35134</v>
      </c>
      <c r="AH8">
        <f t="shared" ref="AH8:AM8" si="15">SUMIF($AC$2:$AC$76,"=7",U$2:U$76)</f>
        <v>37060.399999999994</v>
      </c>
      <c r="AI8">
        <f t="shared" si="15"/>
        <v>33445.800000000003</v>
      </c>
      <c r="AJ8">
        <f t="shared" si="15"/>
        <v>34429</v>
      </c>
      <c r="AK8">
        <f t="shared" si="15"/>
        <v>34124.300000000003</v>
      </c>
      <c r="AL8">
        <f t="shared" si="15"/>
        <v>35266.6</v>
      </c>
      <c r="AM8">
        <f t="shared" si="15"/>
        <v>35062.200000000004</v>
      </c>
      <c r="AO8">
        <f t="shared" si="9"/>
        <v>26</v>
      </c>
      <c r="AP8">
        <v>52449.2</v>
      </c>
      <c r="AQ8" s="40">
        <f t="shared" si="11"/>
        <v>52449.2</v>
      </c>
      <c r="AS8">
        <v>55032.4</v>
      </c>
      <c r="AT8" s="40">
        <f t="shared" si="12"/>
        <v>55032.4</v>
      </c>
      <c r="AV8">
        <f t="shared" si="4"/>
        <v>59247.6</v>
      </c>
      <c r="AW8" s="40">
        <f t="shared" si="13"/>
        <v>59247.6</v>
      </c>
    </row>
    <row r="9" spans="1:55" x14ac:dyDescent="0.2">
      <c r="C9">
        <v>8</v>
      </c>
      <c r="D9">
        <v>277.89999999999998</v>
      </c>
      <c r="E9">
        <v>7.8</v>
      </c>
      <c r="F9">
        <v>260.89999999999998</v>
      </c>
      <c r="G9">
        <v>7.1</v>
      </c>
      <c r="H9">
        <v>321.2</v>
      </c>
      <c r="I9">
        <v>6.9</v>
      </c>
      <c r="J9">
        <v>322.89999999999998</v>
      </c>
      <c r="K9">
        <v>7.3</v>
      </c>
      <c r="L9">
        <v>322.8</v>
      </c>
      <c r="M9">
        <v>6.8</v>
      </c>
      <c r="N9">
        <v>303.8</v>
      </c>
      <c r="O9">
        <v>6</v>
      </c>
      <c r="P9">
        <v>295.3</v>
      </c>
      <c r="Q9">
        <v>5.6</v>
      </c>
      <c r="T9">
        <f>D9</f>
        <v>277.89999999999998</v>
      </c>
      <c r="U9">
        <f>F9</f>
        <v>260.89999999999998</v>
      </c>
      <c r="V9">
        <f>H9</f>
        <v>321.2</v>
      </c>
      <c r="W9">
        <f>J9</f>
        <v>322.89999999999998</v>
      </c>
      <c r="X9">
        <f>L9</f>
        <v>322.8</v>
      </c>
      <c r="Y9">
        <f>N9</f>
        <v>303.8</v>
      </c>
      <c r="Z9">
        <f>P9</f>
        <v>295.3</v>
      </c>
      <c r="AB9">
        <f t="shared" si="5"/>
        <v>8</v>
      </c>
      <c r="AC9">
        <v>4</v>
      </c>
      <c r="AE9">
        <v>325</v>
      </c>
      <c r="AF9">
        <f t="shared" si="6"/>
        <v>8</v>
      </c>
      <c r="AG9">
        <f>SUMIF($AC$2:$AC$76,"=8",T$2:T$76)</f>
        <v>125862.49999999999</v>
      </c>
      <c r="AH9">
        <f t="shared" ref="AH9:AM9" si="16">SUMIF($AC$2:$AC$76,"=8",U$2:U$76)</f>
        <v>119687.20000000001</v>
      </c>
      <c r="AI9">
        <f t="shared" si="16"/>
        <v>124283.5</v>
      </c>
      <c r="AJ9">
        <f t="shared" si="16"/>
        <v>127548.6</v>
      </c>
      <c r="AK9">
        <f t="shared" si="16"/>
        <v>134998.29999999999</v>
      </c>
      <c r="AL9">
        <f t="shared" si="16"/>
        <v>143305.19999999998</v>
      </c>
      <c r="AM9">
        <f t="shared" si="16"/>
        <v>144982.5</v>
      </c>
      <c r="AO9">
        <f t="shared" si="9"/>
        <v>27</v>
      </c>
      <c r="AP9">
        <v>12382.5</v>
      </c>
      <c r="AQ9" s="40">
        <f t="shared" si="11"/>
        <v>12382.5</v>
      </c>
      <c r="AS9">
        <v>13202.3</v>
      </c>
      <c r="AT9" s="40">
        <f t="shared" si="12"/>
        <v>13202.3</v>
      </c>
      <c r="AV9">
        <f t="shared" si="4"/>
        <v>15746</v>
      </c>
      <c r="AW9" s="40">
        <f t="shared" si="13"/>
        <v>15746</v>
      </c>
      <c r="BC9">
        <v>322.89999999999998</v>
      </c>
    </row>
    <row r="10" spans="1:55" x14ac:dyDescent="0.2">
      <c r="C10">
        <v>9</v>
      </c>
      <c r="D10">
        <v>111.8</v>
      </c>
      <c r="E10">
        <v>5.5</v>
      </c>
      <c r="F10">
        <v>122.8</v>
      </c>
      <c r="G10">
        <v>5.2</v>
      </c>
      <c r="H10">
        <v>175.3</v>
      </c>
      <c r="I10">
        <v>5.9</v>
      </c>
      <c r="J10">
        <v>167.7</v>
      </c>
      <c r="K10">
        <v>6.1</v>
      </c>
      <c r="L10">
        <v>155</v>
      </c>
      <c r="M10">
        <v>5.3</v>
      </c>
      <c r="N10">
        <v>157.9</v>
      </c>
      <c r="O10">
        <v>5.3</v>
      </c>
      <c r="P10">
        <v>152</v>
      </c>
      <c r="Q10">
        <v>4.3</v>
      </c>
      <c r="T10">
        <f t="shared" ref="T10:T73" si="17">D10</f>
        <v>111.8</v>
      </c>
      <c r="U10">
        <f t="shared" ref="U10:U73" si="18">F10</f>
        <v>122.8</v>
      </c>
      <c r="V10">
        <f t="shared" ref="V10:V73" si="19">H10</f>
        <v>175.3</v>
      </c>
      <c r="W10">
        <f t="shared" ref="W10:W73" si="20">J10</f>
        <v>167.7</v>
      </c>
      <c r="X10">
        <f t="shared" ref="X10:X73" si="21">L10</f>
        <v>155</v>
      </c>
      <c r="Y10">
        <f t="shared" ref="Y10:Y73" si="22">N10</f>
        <v>157.9</v>
      </c>
      <c r="Z10">
        <f t="shared" ref="Z10:Z73" si="23">P10</f>
        <v>152</v>
      </c>
      <c r="AB10">
        <f t="shared" si="5"/>
        <v>9</v>
      </c>
      <c r="AC10">
        <v>4</v>
      </c>
      <c r="AE10">
        <v>326</v>
      </c>
      <c r="AF10">
        <f t="shared" si="6"/>
        <v>9</v>
      </c>
      <c r="AG10">
        <f>SUMIF($AC$2:$AC$76,"=9",T$2:T$76)</f>
        <v>30102.5</v>
      </c>
      <c r="AH10">
        <f t="shared" ref="AH10:AM10" si="24">SUMIF($AC$2:$AC$76,"=9",U$2:U$76)</f>
        <v>31221.4</v>
      </c>
      <c r="AI10">
        <f t="shared" si="24"/>
        <v>33080</v>
      </c>
      <c r="AJ10">
        <f t="shared" si="24"/>
        <v>34780.699999999997</v>
      </c>
      <c r="AK10">
        <f t="shared" si="24"/>
        <v>35582.9</v>
      </c>
      <c r="AL10">
        <f t="shared" si="24"/>
        <v>36677.800000000003</v>
      </c>
      <c r="AM10">
        <f t="shared" si="24"/>
        <v>36130.6</v>
      </c>
      <c r="AO10">
        <f t="shared" si="9"/>
        <v>28</v>
      </c>
      <c r="AP10">
        <v>125862.5</v>
      </c>
      <c r="AQ10" s="40">
        <f t="shared" si="11"/>
        <v>125862.5</v>
      </c>
      <c r="AS10">
        <v>119687.1</v>
      </c>
      <c r="AT10" s="31">
        <f t="shared" si="12"/>
        <v>119687.1</v>
      </c>
      <c r="AV10">
        <f t="shared" si="4"/>
        <v>124283.3</v>
      </c>
      <c r="AW10" s="40">
        <f t="shared" si="13"/>
        <v>124283.3</v>
      </c>
      <c r="BC10">
        <v>167.7</v>
      </c>
    </row>
    <row r="11" spans="1:55" x14ac:dyDescent="0.2">
      <c r="C11">
        <v>10</v>
      </c>
      <c r="D11">
        <v>16375.8</v>
      </c>
      <c r="E11">
        <v>448.7</v>
      </c>
      <c r="F11">
        <v>17375.900000000001</v>
      </c>
      <c r="G11">
        <v>418.1</v>
      </c>
      <c r="H11">
        <v>20266.5</v>
      </c>
      <c r="I11">
        <v>427.4</v>
      </c>
      <c r="J11">
        <v>21079.200000000001</v>
      </c>
      <c r="K11">
        <v>481.5</v>
      </c>
      <c r="L11">
        <v>20666.599999999999</v>
      </c>
      <c r="M11">
        <v>504.2</v>
      </c>
      <c r="N11">
        <v>20700.2</v>
      </c>
      <c r="O11">
        <v>554.9</v>
      </c>
      <c r="P11">
        <v>20117.599999999999</v>
      </c>
      <c r="Q11">
        <v>559.20000000000005</v>
      </c>
      <c r="T11">
        <f t="shared" si="17"/>
        <v>16375.8</v>
      </c>
      <c r="U11">
        <f t="shared" si="18"/>
        <v>17375.900000000001</v>
      </c>
      <c r="V11">
        <f t="shared" si="19"/>
        <v>20266.5</v>
      </c>
      <c r="W11">
        <f t="shared" si="20"/>
        <v>21079.200000000001</v>
      </c>
      <c r="X11">
        <f t="shared" si="21"/>
        <v>20666.599999999999</v>
      </c>
      <c r="Y11">
        <f t="shared" si="22"/>
        <v>20700.2</v>
      </c>
      <c r="Z11">
        <f t="shared" si="23"/>
        <v>20117.599999999999</v>
      </c>
      <c r="AB11">
        <f t="shared" si="5"/>
        <v>10</v>
      </c>
      <c r="AC11">
        <v>4</v>
      </c>
      <c r="AE11">
        <v>327</v>
      </c>
      <c r="AF11">
        <f t="shared" si="6"/>
        <v>10</v>
      </c>
      <c r="AG11">
        <f>SUMIF($AC$2:$AC$76,"=10",T$2:T$76)</f>
        <v>30516.800000000003</v>
      </c>
      <c r="AH11">
        <f t="shared" ref="AH11:AM11" si="25">SUMIF($AC$2:$AC$76,"=10",U$2:U$76)</f>
        <v>31628.399999999998</v>
      </c>
      <c r="AI11">
        <f t="shared" si="25"/>
        <v>33311.5</v>
      </c>
      <c r="AJ11">
        <f t="shared" si="25"/>
        <v>34083.599999999999</v>
      </c>
      <c r="AK11">
        <f t="shared" si="25"/>
        <v>33334.300000000003</v>
      </c>
      <c r="AL11">
        <f t="shared" si="25"/>
        <v>33862</v>
      </c>
      <c r="AM11">
        <f t="shared" si="25"/>
        <v>32891.300000000003</v>
      </c>
      <c r="AO11">
        <f t="shared" si="9"/>
        <v>29</v>
      </c>
      <c r="AP11">
        <v>35134</v>
      </c>
      <c r="AQ11" s="40">
        <f t="shared" si="11"/>
        <v>35134</v>
      </c>
      <c r="AR11" t="s">
        <v>124</v>
      </c>
      <c r="AS11">
        <v>37060.400000000001</v>
      </c>
      <c r="AT11" s="40">
        <f t="shared" si="12"/>
        <v>37060.400000000001</v>
      </c>
      <c r="AV11">
        <f t="shared" si="4"/>
        <v>33445.800000000003</v>
      </c>
      <c r="AW11" s="40">
        <f t="shared" si="13"/>
        <v>33445.800000000003</v>
      </c>
      <c r="BC11">
        <v>21079.200000000001</v>
      </c>
    </row>
    <row r="12" spans="1:55" x14ac:dyDescent="0.2">
      <c r="C12">
        <v>11</v>
      </c>
      <c r="D12">
        <v>2532.1</v>
      </c>
      <c r="E12">
        <v>59.8</v>
      </c>
      <c r="F12">
        <v>2665.5</v>
      </c>
      <c r="G12">
        <v>57.1</v>
      </c>
      <c r="H12">
        <v>3191.3</v>
      </c>
      <c r="I12">
        <v>55.4</v>
      </c>
      <c r="J12">
        <v>3816.8</v>
      </c>
      <c r="K12">
        <v>61.7</v>
      </c>
      <c r="L12">
        <v>3595.4</v>
      </c>
      <c r="M12">
        <v>61.5</v>
      </c>
      <c r="N12">
        <v>3326.9</v>
      </c>
      <c r="O12">
        <v>54.7</v>
      </c>
      <c r="P12">
        <v>3257.6</v>
      </c>
      <c r="Q12">
        <v>53</v>
      </c>
      <c r="T12">
        <f t="shared" si="17"/>
        <v>2532.1</v>
      </c>
      <c r="U12">
        <f t="shared" si="18"/>
        <v>2665.5</v>
      </c>
      <c r="V12">
        <f t="shared" si="19"/>
        <v>3191.3</v>
      </c>
      <c r="W12">
        <f t="shared" si="20"/>
        <v>3816.8</v>
      </c>
      <c r="X12">
        <f t="shared" si="21"/>
        <v>3595.4</v>
      </c>
      <c r="Y12">
        <f t="shared" si="22"/>
        <v>3326.9</v>
      </c>
      <c r="Z12">
        <f t="shared" si="23"/>
        <v>3257.6</v>
      </c>
      <c r="AB12">
        <f t="shared" si="5"/>
        <v>11</v>
      </c>
      <c r="AC12">
        <v>17</v>
      </c>
      <c r="AE12">
        <v>331</v>
      </c>
      <c r="AF12">
        <f t="shared" si="6"/>
        <v>11</v>
      </c>
      <c r="AG12">
        <f>SUMIF($AC$2:$AC$76,"=11",T$2:T$76)</f>
        <v>133152.20000000001</v>
      </c>
      <c r="AH12">
        <f t="shared" ref="AH12:AM12" si="26">SUMIF($AC$2:$AC$76,"=11",U$2:U$76)</f>
        <v>125443.79999999999</v>
      </c>
      <c r="AI12">
        <f t="shared" si="26"/>
        <v>130668.70000000001</v>
      </c>
      <c r="AJ12">
        <f t="shared" si="26"/>
        <v>150398</v>
      </c>
      <c r="AK12">
        <f t="shared" si="26"/>
        <v>147012.29999999999</v>
      </c>
      <c r="AL12">
        <f t="shared" si="26"/>
        <v>148797.5</v>
      </c>
      <c r="AM12">
        <f t="shared" si="26"/>
        <v>147624.19999999998</v>
      </c>
      <c r="AO12">
        <f t="shared" si="9"/>
        <v>30</v>
      </c>
      <c r="AP12">
        <v>30102.5</v>
      </c>
      <c r="AQ12" s="40">
        <f t="shared" si="11"/>
        <v>30102.5</v>
      </c>
      <c r="AS12">
        <v>31221.4</v>
      </c>
      <c r="AT12" s="40">
        <f t="shared" si="12"/>
        <v>31221.4</v>
      </c>
      <c r="AV12">
        <f t="shared" si="4"/>
        <v>33080</v>
      </c>
      <c r="AW12" s="40">
        <f t="shared" si="13"/>
        <v>33080</v>
      </c>
      <c r="BC12">
        <v>3816.8</v>
      </c>
    </row>
    <row r="13" spans="1:55" x14ac:dyDescent="0.2">
      <c r="C13">
        <v>12</v>
      </c>
      <c r="D13">
        <v>1943.1</v>
      </c>
      <c r="E13">
        <v>89.4</v>
      </c>
      <c r="F13">
        <v>2013</v>
      </c>
      <c r="G13">
        <v>80.099999999999994</v>
      </c>
      <c r="H13">
        <v>2521.5</v>
      </c>
      <c r="I13">
        <v>83.3</v>
      </c>
      <c r="J13">
        <v>2658.3</v>
      </c>
      <c r="K13">
        <v>86.5</v>
      </c>
      <c r="L13">
        <v>2699.9</v>
      </c>
      <c r="M13">
        <v>88</v>
      </c>
      <c r="N13">
        <v>2637.4</v>
      </c>
      <c r="O13">
        <v>82.8</v>
      </c>
      <c r="P13">
        <v>2560.3000000000002</v>
      </c>
      <c r="Q13">
        <v>77.400000000000006</v>
      </c>
      <c r="T13">
        <f t="shared" si="17"/>
        <v>1943.1</v>
      </c>
      <c r="U13">
        <f t="shared" si="18"/>
        <v>2013</v>
      </c>
      <c r="V13">
        <f t="shared" si="19"/>
        <v>2521.5</v>
      </c>
      <c r="W13">
        <f t="shared" si="20"/>
        <v>2658.3</v>
      </c>
      <c r="X13">
        <f t="shared" si="21"/>
        <v>2699.9</v>
      </c>
      <c r="Y13">
        <f t="shared" si="22"/>
        <v>2637.4</v>
      </c>
      <c r="Z13">
        <f t="shared" si="23"/>
        <v>2560.3000000000002</v>
      </c>
      <c r="AB13">
        <f t="shared" si="5"/>
        <v>12</v>
      </c>
      <c r="AC13">
        <v>17</v>
      </c>
      <c r="AE13">
        <v>332</v>
      </c>
      <c r="AF13">
        <f t="shared" si="6"/>
        <v>12</v>
      </c>
      <c r="AG13">
        <f>SUMIF($AC$2:$AC$76,"=12",T$2:T$76)</f>
        <v>27974.1</v>
      </c>
      <c r="AH13">
        <f t="shared" ref="AH13:AM13" si="27">SUMIF($AC$2:$AC$76,"=12",U$2:U$76)</f>
        <v>27340.300000000003</v>
      </c>
      <c r="AI13">
        <f t="shared" si="27"/>
        <v>31448.699999999997</v>
      </c>
      <c r="AJ13">
        <f t="shared" si="27"/>
        <v>33061.800000000003</v>
      </c>
      <c r="AK13">
        <f t="shared" si="27"/>
        <v>33210.9</v>
      </c>
      <c r="AL13">
        <f t="shared" si="27"/>
        <v>33137.199999999997</v>
      </c>
      <c r="AM13">
        <f t="shared" si="27"/>
        <v>32341.499999999996</v>
      </c>
      <c r="AO13">
        <f t="shared" si="9"/>
        <v>31</v>
      </c>
      <c r="AP13">
        <v>1040.2</v>
      </c>
      <c r="AS13">
        <v>969.5</v>
      </c>
      <c r="AT13" s="31"/>
      <c r="AV13">
        <f t="shared" si="4"/>
        <v>1025.0999999999999</v>
      </c>
      <c r="AW13" s="31"/>
      <c r="BC13">
        <v>2658.3</v>
      </c>
    </row>
    <row r="14" spans="1:55" x14ac:dyDescent="0.2">
      <c r="C14">
        <v>13</v>
      </c>
      <c r="D14">
        <v>8917</v>
      </c>
      <c r="E14">
        <v>823.4</v>
      </c>
      <c r="F14">
        <v>9303.5</v>
      </c>
      <c r="G14">
        <v>667.3</v>
      </c>
      <c r="H14">
        <v>9997.9</v>
      </c>
      <c r="I14">
        <v>580.29999999999995</v>
      </c>
      <c r="J14">
        <v>10498.3</v>
      </c>
      <c r="K14">
        <v>558.29999999999995</v>
      </c>
      <c r="L14">
        <v>10610.7</v>
      </c>
      <c r="M14">
        <v>558.5</v>
      </c>
      <c r="N14">
        <v>10809.8</v>
      </c>
      <c r="O14">
        <v>546.29999999999995</v>
      </c>
      <c r="P14">
        <v>10475.5</v>
      </c>
      <c r="Q14">
        <v>491.2</v>
      </c>
      <c r="T14">
        <f t="shared" si="17"/>
        <v>8917</v>
      </c>
      <c r="U14">
        <f t="shared" si="18"/>
        <v>9303.5</v>
      </c>
      <c r="V14">
        <f t="shared" si="19"/>
        <v>9997.9</v>
      </c>
      <c r="W14">
        <f t="shared" si="20"/>
        <v>10498.3</v>
      </c>
      <c r="X14">
        <f t="shared" si="21"/>
        <v>10610.7</v>
      </c>
      <c r="Y14">
        <f t="shared" si="22"/>
        <v>10809.8</v>
      </c>
      <c r="Z14">
        <f t="shared" si="23"/>
        <v>10475.5</v>
      </c>
      <c r="AB14">
        <f t="shared" si="5"/>
        <v>13</v>
      </c>
      <c r="AC14">
        <v>10</v>
      </c>
      <c r="AE14">
        <v>333</v>
      </c>
      <c r="AF14">
        <f t="shared" si="6"/>
        <v>13</v>
      </c>
      <c r="AG14">
        <f>SUMIF($AC$2:$AC$76,"=13",T$2:T$76)</f>
        <v>26790.500000000004</v>
      </c>
      <c r="AH14">
        <f t="shared" ref="AH14:AM14" si="28">SUMIF($AC$2:$AC$76,"=13",U$2:U$76)</f>
        <v>26284.299999999996</v>
      </c>
      <c r="AI14">
        <f t="shared" si="28"/>
        <v>29510.600000000002</v>
      </c>
      <c r="AJ14">
        <f t="shared" si="28"/>
        <v>30892.300000000003</v>
      </c>
      <c r="AK14">
        <f t="shared" si="28"/>
        <v>32596.399999999998</v>
      </c>
      <c r="AL14">
        <f t="shared" si="28"/>
        <v>33213.799999999996</v>
      </c>
      <c r="AM14">
        <f t="shared" si="28"/>
        <v>32610.2</v>
      </c>
      <c r="AO14">
        <f t="shared" si="9"/>
        <v>32</v>
      </c>
      <c r="AP14">
        <v>30516.799999999999</v>
      </c>
      <c r="AQ14" s="40">
        <f>AP14</f>
        <v>30516.799999999999</v>
      </c>
      <c r="AS14">
        <v>31628.400000000001</v>
      </c>
      <c r="AT14" s="40">
        <f>AS14</f>
        <v>31628.400000000001</v>
      </c>
      <c r="AV14">
        <f t="shared" si="4"/>
        <v>33311.5</v>
      </c>
      <c r="AW14" s="40">
        <f>AV14</f>
        <v>33311.5</v>
      </c>
      <c r="BC14">
        <v>10498.3</v>
      </c>
    </row>
    <row r="15" spans="1:55" x14ac:dyDescent="0.2">
      <c r="C15">
        <v>14</v>
      </c>
      <c r="D15">
        <v>9404.4</v>
      </c>
      <c r="E15">
        <v>556.4</v>
      </c>
      <c r="F15">
        <v>9581.6</v>
      </c>
      <c r="G15">
        <v>499.5</v>
      </c>
      <c r="H15">
        <v>9700.7000000000007</v>
      </c>
      <c r="I15">
        <v>464.2</v>
      </c>
      <c r="J15">
        <v>9618.9</v>
      </c>
      <c r="K15">
        <v>425</v>
      </c>
      <c r="L15">
        <v>9142.5</v>
      </c>
      <c r="M15">
        <v>408.9</v>
      </c>
      <c r="N15">
        <v>9388.7999999999993</v>
      </c>
      <c r="O15">
        <v>430.1</v>
      </c>
      <c r="P15">
        <v>9078</v>
      </c>
      <c r="Q15">
        <v>380.4</v>
      </c>
      <c r="T15">
        <f t="shared" si="17"/>
        <v>9404.4</v>
      </c>
      <c r="U15">
        <f t="shared" si="18"/>
        <v>9581.6</v>
      </c>
      <c r="V15">
        <f t="shared" si="19"/>
        <v>9700.7000000000007</v>
      </c>
      <c r="W15">
        <f t="shared" si="20"/>
        <v>9618.9</v>
      </c>
      <c r="X15">
        <f t="shared" si="21"/>
        <v>9142.5</v>
      </c>
      <c r="Y15">
        <f t="shared" si="22"/>
        <v>9388.7999999999993</v>
      </c>
      <c r="Z15">
        <f t="shared" si="23"/>
        <v>9078</v>
      </c>
      <c r="AB15">
        <f t="shared" si="5"/>
        <v>14</v>
      </c>
      <c r="AC15">
        <v>10</v>
      </c>
      <c r="AE15">
        <v>334</v>
      </c>
      <c r="AF15">
        <f t="shared" si="6"/>
        <v>14</v>
      </c>
      <c r="AG15">
        <f>SUMIF($AC$2:$AC$76,"=14",T$2:T$76)</f>
        <v>29872.300000000003</v>
      </c>
      <c r="AH15">
        <f t="shared" ref="AH15:AM15" si="29">SUMIF($AC$2:$AC$76,"=14",U$2:U$76)</f>
        <v>31237.5</v>
      </c>
      <c r="AI15">
        <f t="shared" si="29"/>
        <v>33439</v>
      </c>
      <c r="AJ15">
        <f t="shared" si="29"/>
        <v>34165.5</v>
      </c>
      <c r="AK15">
        <f t="shared" si="29"/>
        <v>35241.800000000003</v>
      </c>
      <c r="AL15">
        <f t="shared" si="29"/>
        <v>36429</v>
      </c>
      <c r="AM15">
        <f t="shared" si="29"/>
        <v>36002.300000000003</v>
      </c>
      <c r="AO15">
        <f t="shared" si="9"/>
        <v>33</v>
      </c>
      <c r="AP15">
        <v>133152.1</v>
      </c>
      <c r="AQ15" s="40">
        <f>AP15</f>
        <v>133152.1</v>
      </c>
      <c r="AS15">
        <v>125443.8</v>
      </c>
      <c r="AT15" s="40">
        <f>AS15</f>
        <v>125443.8</v>
      </c>
      <c r="AV15">
        <f t="shared" si="4"/>
        <v>130668.7</v>
      </c>
      <c r="AW15" s="40">
        <f>AV15</f>
        <v>130668.7</v>
      </c>
      <c r="BC15">
        <v>9618.9</v>
      </c>
    </row>
    <row r="16" spans="1:55" x14ac:dyDescent="0.2">
      <c r="C16">
        <v>15</v>
      </c>
      <c r="D16">
        <v>12195.4</v>
      </c>
      <c r="E16">
        <v>1277.5999999999999</v>
      </c>
      <c r="F16">
        <v>12743.3</v>
      </c>
      <c r="G16">
        <v>1134.5</v>
      </c>
      <c r="H16">
        <v>13612.9</v>
      </c>
      <c r="I16">
        <v>1026.5</v>
      </c>
      <c r="J16">
        <v>13966.4</v>
      </c>
      <c r="K16">
        <v>1030.5</v>
      </c>
      <c r="L16">
        <v>13581.1</v>
      </c>
      <c r="M16">
        <v>1045.7</v>
      </c>
      <c r="N16">
        <v>13663.4</v>
      </c>
      <c r="O16">
        <v>1005.3</v>
      </c>
      <c r="P16">
        <v>13337.8</v>
      </c>
      <c r="Q16">
        <v>915</v>
      </c>
      <c r="T16">
        <f t="shared" si="17"/>
        <v>12195.4</v>
      </c>
      <c r="U16">
        <f t="shared" si="18"/>
        <v>12743.3</v>
      </c>
      <c r="V16">
        <f t="shared" si="19"/>
        <v>13612.9</v>
      </c>
      <c r="W16">
        <f t="shared" si="20"/>
        <v>13966.4</v>
      </c>
      <c r="X16">
        <f t="shared" si="21"/>
        <v>13581.1</v>
      </c>
      <c r="Y16">
        <f t="shared" si="22"/>
        <v>13663.4</v>
      </c>
      <c r="Z16">
        <f t="shared" si="23"/>
        <v>13337.8</v>
      </c>
      <c r="AB16">
        <f t="shared" si="5"/>
        <v>15</v>
      </c>
      <c r="AC16">
        <v>10</v>
      </c>
      <c r="AE16">
        <v>335</v>
      </c>
      <c r="AF16">
        <f t="shared" si="6"/>
        <v>15</v>
      </c>
      <c r="AG16">
        <f>SUMIF($AC$2:$AC$76,"=15",T$2:T$76)</f>
        <v>13763.8</v>
      </c>
      <c r="AH16">
        <f t="shared" ref="AH16:AM16" si="30">SUMIF($AC$2:$AC$76,"=15",U$2:U$76)</f>
        <v>14030</v>
      </c>
      <c r="AI16">
        <f t="shared" si="30"/>
        <v>14874.7</v>
      </c>
      <c r="AJ16">
        <f t="shared" si="30"/>
        <v>15373.3</v>
      </c>
      <c r="AK16">
        <f t="shared" si="30"/>
        <v>15564.400000000001</v>
      </c>
      <c r="AL16">
        <f t="shared" si="30"/>
        <v>15319</v>
      </c>
      <c r="AM16">
        <f t="shared" si="30"/>
        <v>14754.8</v>
      </c>
      <c r="AO16">
        <f t="shared" si="9"/>
        <v>34</v>
      </c>
      <c r="AP16">
        <v>27974.1</v>
      </c>
      <c r="AQ16" s="40">
        <f>AP16</f>
        <v>27974.1</v>
      </c>
      <c r="AS16">
        <v>27340.3</v>
      </c>
      <c r="AT16" s="40">
        <f>AS16</f>
        <v>27340.3</v>
      </c>
      <c r="AV16">
        <f t="shared" si="4"/>
        <v>31448.9</v>
      </c>
      <c r="AW16" s="40">
        <f>AV16</f>
        <v>31448.9</v>
      </c>
      <c r="BC16">
        <v>13966.4</v>
      </c>
    </row>
    <row r="17" spans="1:55" x14ac:dyDescent="0.2">
      <c r="C17">
        <v>16</v>
      </c>
      <c r="D17">
        <v>46544.2</v>
      </c>
      <c r="E17">
        <v>2754.2</v>
      </c>
      <c r="F17">
        <v>43762.1</v>
      </c>
      <c r="G17">
        <v>2078.6999999999998</v>
      </c>
      <c r="H17">
        <v>47440.6</v>
      </c>
      <c r="I17">
        <v>1771.1</v>
      </c>
      <c r="J17">
        <v>50965.8</v>
      </c>
      <c r="K17">
        <v>1950</v>
      </c>
      <c r="L17">
        <v>51033.7</v>
      </c>
      <c r="M17">
        <v>2024.7</v>
      </c>
      <c r="N17">
        <v>51240.6</v>
      </c>
      <c r="O17">
        <v>2028.6</v>
      </c>
      <c r="P17">
        <v>48709.9</v>
      </c>
      <c r="Q17">
        <v>1703.7</v>
      </c>
      <c r="T17">
        <f t="shared" si="17"/>
        <v>46544.2</v>
      </c>
      <c r="U17">
        <f t="shared" si="18"/>
        <v>43762.1</v>
      </c>
      <c r="V17">
        <f t="shared" si="19"/>
        <v>47440.6</v>
      </c>
      <c r="W17">
        <f t="shared" si="20"/>
        <v>50965.8</v>
      </c>
      <c r="X17">
        <f t="shared" si="21"/>
        <v>51033.7</v>
      </c>
      <c r="Y17">
        <f t="shared" si="22"/>
        <v>51240.6</v>
      </c>
      <c r="Z17">
        <f t="shared" si="23"/>
        <v>48709.9</v>
      </c>
      <c r="AB17">
        <f t="shared" si="5"/>
        <v>16</v>
      </c>
      <c r="AC17">
        <v>11</v>
      </c>
      <c r="AE17">
        <v>336</v>
      </c>
      <c r="AF17">
        <f t="shared" si="6"/>
        <v>16</v>
      </c>
      <c r="AG17">
        <f>SUMIF($AC$2:$AC$76,"=16",T$2:T$76)</f>
        <v>34536.400000000001</v>
      </c>
      <c r="AH17">
        <f t="shared" ref="AH17:AM17" si="31">SUMIF($AC$2:$AC$76,"=16",U$2:U$76)</f>
        <v>35831.199999999997</v>
      </c>
      <c r="AI17">
        <f t="shared" si="31"/>
        <v>38291.199999999997</v>
      </c>
      <c r="AJ17">
        <f t="shared" si="31"/>
        <v>42189.299999999996</v>
      </c>
      <c r="AK17">
        <f t="shared" si="31"/>
        <v>41886.400000000001</v>
      </c>
      <c r="AL17">
        <f t="shared" si="31"/>
        <v>42765.8</v>
      </c>
      <c r="AM17">
        <f t="shared" si="31"/>
        <v>40885.5</v>
      </c>
      <c r="AO17">
        <f t="shared" si="9"/>
        <v>35</v>
      </c>
      <c r="AP17">
        <v>30273.599999999999</v>
      </c>
      <c r="AS17">
        <v>29983.9</v>
      </c>
      <c r="AT17" s="31"/>
      <c r="AV17">
        <f t="shared" si="4"/>
        <v>33354.199999999997</v>
      </c>
      <c r="AW17" s="31"/>
      <c r="BC17">
        <v>50965.8</v>
      </c>
    </row>
    <row r="18" spans="1:55" x14ac:dyDescent="0.2">
      <c r="C18">
        <v>17</v>
      </c>
      <c r="D18">
        <v>10902.5</v>
      </c>
      <c r="E18">
        <v>515.4</v>
      </c>
      <c r="F18">
        <v>10512.9</v>
      </c>
      <c r="G18">
        <v>427.4</v>
      </c>
      <c r="H18">
        <v>11605.2</v>
      </c>
      <c r="I18">
        <v>395.2</v>
      </c>
      <c r="J18">
        <v>12818.1</v>
      </c>
      <c r="K18">
        <v>428.2</v>
      </c>
      <c r="L18">
        <v>12305.8</v>
      </c>
      <c r="M18">
        <v>416.4</v>
      </c>
      <c r="N18">
        <v>12341.3</v>
      </c>
      <c r="O18">
        <v>389.5</v>
      </c>
      <c r="P18">
        <v>11496.5</v>
      </c>
      <c r="Q18">
        <v>356.9</v>
      </c>
      <c r="T18">
        <f t="shared" si="17"/>
        <v>10902.5</v>
      </c>
      <c r="U18">
        <f t="shared" si="18"/>
        <v>10512.9</v>
      </c>
      <c r="V18">
        <f t="shared" si="19"/>
        <v>11605.2</v>
      </c>
      <c r="W18">
        <f t="shared" si="20"/>
        <v>12818.1</v>
      </c>
      <c r="X18">
        <f t="shared" si="21"/>
        <v>12305.8</v>
      </c>
      <c r="Y18">
        <f t="shared" si="22"/>
        <v>12341.3</v>
      </c>
      <c r="Z18">
        <f t="shared" si="23"/>
        <v>11496.5</v>
      </c>
      <c r="AB18">
        <f t="shared" si="5"/>
        <v>17</v>
      </c>
      <c r="AC18">
        <v>11</v>
      </c>
      <c r="AE18">
        <v>337</v>
      </c>
      <c r="AF18">
        <f t="shared" si="6"/>
        <v>17</v>
      </c>
      <c r="AG18">
        <f>SUMIF($AC$2:$AC$76,"=17",T$2:T$76)</f>
        <v>4475.2</v>
      </c>
      <c r="AH18">
        <f t="shared" ref="AH18:AM18" si="32">SUMIF($AC$2:$AC$76,"=17",U$2:U$76)</f>
        <v>4678.5</v>
      </c>
      <c r="AI18">
        <f t="shared" si="32"/>
        <v>5712.8</v>
      </c>
      <c r="AJ18">
        <f t="shared" si="32"/>
        <v>6475.1</v>
      </c>
      <c r="AK18">
        <f t="shared" si="32"/>
        <v>6295.3</v>
      </c>
      <c r="AL18">
        <f t="shared" si="32"/>
        <v>5964.3</v>
      </c>
      <c r="AM18">
        <f t="shared" si="32"/>
        <v>5817.9</v>
      </c>
      <c r="AO18">
        <f t="shared" si="9"/>
        <v>36</v>
      </c>
      <c r="AP18">
        <v>32823</v>
      </c>
      <c r="AS18">
        <v>33936.199999999997</v>
      </c>
      <c r="AT18" s="31"/>
      <c r="AV18">
        <f t="shared" si="4"/>
        <v>31344.1</v>
      </c>
      <c r="AW18" s="31"/>
      <c r="BC18">
        <v>12818.1</v>
      </c>
    </row>
    <row r="19" spans="1:55" x14ac:dyDescent="0.2">
      <c r="C19">
        <v>18</v>
      </c>
      <c r="D19">
        <v>55626.3</v>
      </c>
      <c r="E19">
        <v>119.9</v>
      </c>
      <c r="F19">
        <v>51540.4</v>
      </c>
      <c r="G19">
        <v>70.900000000000006</v>
      </c>
      <c r="H19">
        <v>51246</v>
      </c>
      <c r="I19">
        <v>57.1</v>
      </c>
      <c r="J19">
        <v>64969</v>
      </c>
      <c r="K19">
        <v>60.8</v>
      </c>
      <c r="L19">
        <v>61454.400000000001</v>
      </c>
      <c r="M19">
        <v>62.7</v>
      </c>
      <c r="N19">
        <v>63674.7</v>
      </c>
      <c r="O19">
        <v>60.1</v>
      </c>
      <c r="P19">
        <v>66085.5</v>
      </c>
      <c r="Q19">
        <v>52</v>
      </c>
      <c r="T19">
        <f t="shared" si="17"/>
        <v>55626.3</v>
      </c>
      <c r="U19">
        <f t="shared" si="18"/>
        <v>51540.4</v>
      </c>
      <c r="V19">
        <f t="shared" si="19"/>
        <v>51246</v>
      </c>
      <c r="W19">
        <f t="shared" si="20"/>
        <v>64969</v>
      </c>
      <c r="X19">
        <f t="shared" si="21"/>
        <v>61454.400000000001</v>
      </c>
      <c r="Y19">
        <f t="shared" si="22"/>
        <v>63674.7</v>
      </c>
      <c r="Z19">
        <f t="shared" si="23"/>
        <v>66085.5</v>
      </c>
      <c r="AB19">
        <f t="shared" si="5"/>
        <v>18</v>
      </c>
      <c r="AC19">
        <v>11</v>
      </c>
      <c r="AE19">
        <v>339</v>
      </c>
      <c r="AF19">
        <f t="shared" si="6"/>
        <v>18</v>
      </c>
      <c r="AG19">
        <f>SUMIF($AC$2:$AC$76,"=18",T$2:T$76)</f>
        <v>3485.8</v>
      </c>
      <c r="AH19">
        <f t="shared" ref="AH19:AM19" si="33">SUMIF($AC$2:$AC$76,"=18",U$2:U$76)</f>
        <v>3554.5</v>
      </c>
      <c r="AI19">
        <f t="shared" si="33"/>
        <v>4636.8999999999996</v>
      </c>
      <c r="AJ19">
        <f t="shared" si="33"/>
        <v>4792.2</v>
      </c>
      <c r="AK19">
        <f t="shared" si="33"/>
        <v>4966.3</v>
      </c>
      <c r="AL19">
        <f t="shared" si="33"/>
        <v>5087.8</v>
      </c>
      <c r="AM19">
        <f t="shared" si="33"/>
        <v>4914.5</v>
      </c>
      <c r="AO19">
        <f t="shared" si="9"/>
        <v>37</v>
      </c>
      <c r="AP19">
        <v>34536.5</v>
      </c>
      <c r="AQ19" s="40">
        <f>AP19</f>
        <v>34536.5</v>
      </c>
      <c r="AS19">
        <v>35831.1</v>
      </c>
      <c r="AT19" s="40">
        <f>AS19</f>
        <v>35831.1</v>
      </c>
      <c r="AV19">
        <f t="shared" si="4"/>
        <v>38291.1</v>
      </c>
      <c r="AW19" s="37">
        <f>AV19</f>
        <v>38291.1</v>
      </c>
      <c r="BC19">
        <v>64969</v>
      </c>
    </row>
    <row r="20" spans="1:55" x14ac:dyDescent="0.2">
      <c r="C20">
        <v>19</v>
      </c>
      <c r="D20">
        <v>20079.2</v>
      </c>
      <c r="E20">
        <v>905.8</v>
      </c>
      <c r="F20">
        <v>19628.400000000001</v>
      </c>
      <c r="G20">
        <v>724.8</v>
      </c>
      <c r="H20">
        <v>20376.900000000001</v>
      </c>
      <c r="I20">
        <v>634.20000000000005</v>
      </c>
      <c r="J20">
        <v>21645.1</v>
      </c>
      <c r="K20">
        <v>645.79999999999995</v>
      </c>
      <c r="L20">
        <v>22218.400000000001</v>
      </c>
      <c r="M20">
        <v>659.9</v>
      </c>
      <c r="N20">
        <v>21540.9</v>
      </c>
      <c r="O20">
        <v>659.6</v>
      </c>
      <c r="P20">
        <v>21332.3</v>
      </c>
      <c r="Q20">
        <v>610.5</v>
      </c>
      <c r="T20">
        <f t="shared" si="17"/>
        <v>20079.2</v>
      </c>
      <c r="U20">
        <f t="shared" si="18"/>
        <v>19628.400000000001</v>
      </c>
      <c r="V20">
        <f t="shared" si="19"/>
        <v>20376.900000000001</v>
      </c>
      <c r="W20">
        <f t="shared" si="20"/>
        <v>21645.1</v>
      </c>
      <c r="X20">
        <f t="shared" si="21"/>
        <v>22218.400000000001</v>
      </c>
      <c r="Y20">
        <f t="shared" si="22"/>
        <v>21540.9</v>
      </c>
      <c r="Z20">
        <f t="shared" si="23"/>
        <v>21332.3</v>
      </c>
      <c r="AB20">
        <f t="shared" si="5"/>
        <v>19</v>
      </c>
      <c r="AC20">
        <v>11</v>
      </c>
      <c r="AE20" t="s">
        <v>4</v>
      </c>
      <c r="AG20">
        <f>SUM(AG2:AG19)</f>
        <v>656740.30000000016</v>
      </c>
      <c r="AH20">
        <f>SUM(AH2:AH19)</f>
        <v>658486.9</v>
      </c>
      <c r="AI20">
        <f>SUM(AI2:AI19)</f>
        <v>696494.95</v>
      </c>
      <c r="AO20">
        <f t="shared" si="9"/>
        <v>38</v>
      </c>
      <c r="AP20">
        <v>7329.9</v>
      </c>
      <c r="AS20">
        <v>7631.7</v>
      </c>
      <c r="AT20" s="31"/>
      <c r="AV20">
        <f t="shared" si="4"/>
        <v>13126</v>
      </c>
      <c r="AW20" s="31"/>
      <c r="BC20">
        <v>21645.1</v>
      </c>
    </row>
    <row r="21" spans="1:55" x14ac:dyDescent="0.2">
      <c r="C21">
        <v>20</v>
      </c>
      <c r="D21">
        <v>1701.5</v>
      </c>
      <c r="E21">
        <v>47.2</v>
      </c>
      <c r="F21">
        <v>1771.2</v>
      </c>
      <c r="G21">
        <v>40.4</v>
      </c>
      <c r="H21">
        <v>1895.1</v>
      </c>
      <c r="I21">
        <v>46.9</v>
      </c>
      <c r="J21">
        <v>1943.3</v>
      </c>
      <c r="K21">
        <v>45.8</v>
      </c>
      <c r="L21">
        <v>1812.6</v>
      </c>
      <c r="M21">
        <v>41.5</v>
      </c>
      <c r="N21">
        <v>1755.2</v>
      </c>
      <c r="O21">
        <v>37.700000000000003</v>
      </c>
      <c r="P21">
        <v>1753.7</v>
      </c>
      <c r="Q21">
        <v>35.5</v>
      </c>
      <c r="T21">
        <f t="shared" si="17"/>
        <v>1701.5</v>
      </c>
      <c r="U21">
        <f t="shared" si="18"/>
        <v>1771.2</v>
      </c>
      <c r="V21">
        <f t="shared" si="19"/>
        <v>1895.1</v>
      </c>
      <c r="W21">
        <f t="shared" si="20"/>
        <v>1943.3</v>
      </c>
      <c r="X21">
        <f t="shared" si="21"/>
        <v>1812.6</v>
      </c>
      <c r="Y21">
        <f t="shared" si="22"/>
        <v>1755.2</v>
      </c>
      <c r="Z21">
        <f t="shared" si="23"/>
        <v>1753.7</v>
      </c>
      <c r="AB21">
        <f t="shared" si="5"/>
        <v>20</v>
      </c>
      <c r="AC21">
        <v>12</v>
      </c>
      <c r="AO21">
        <f t="shared" si="9"/>
        <v>39</v>
      </c>
      <c r="AP21">
        <v>3485.8</v>
      </c>
      <c r="AQ21" s="40">
        <f>AP21</f>
        <v>3485.8</v>
      </c>
      <c r="AS21">
        <v>3554.5</v>
      </c>
      <c r="AT21" s="31">
        <f>AS21</f>
        <v>3554.5</v>
      </c>
      <c r="AV21">
        <f t="shared" si="4"/>
        <v>4636.8999999999996</v>
      </c>
      <c r="AW21" s="31">
        <f>AV21</f>
        <v>4636.8999999999996</v>
      </c>
      <c r="BC21">
        <v>1943.3</v>
      </c>
    </row>
    <row r="22" spans="1:55" x14ac:dyDescent="0.2">
      <c r="B22">
        <f>1545.1+334.1</f>
        <v>1879.1999999999998</v>
      </c>
      <c r="C22">
        <v>21</v>
      </c>
      <c r="D22">
        <v>1626.5</v>
      </c>
      <c r="E22">
        <v>132.69999999999999</v>
      </c>
      <c r="F22">
        <v>1471.6</v>
      </c>
      <c r="G22">
        <v>103.7</v>
      </c>
      <c r="H22" s="3">
        <f>B22</f>
        <v>1879.1999999999998</v>
      </c>
      <c r="I22">
        <v>102.2</v>
      </c>
      <c r="J22">
        <v>1836.2</v>
      </c>
      <c r="K22">
        <v>100.7</v>
      </c>
      <c r="L22">
        <v>1969.7</v>
      </c>
      <c r="M22">
        <v>103.4</v>
      </c>
      <c r="N22">
        <v>1943.2</v>
      </c>
      <c r="O22">
        <v>110.4</v>
      </c>
      <c r="P22">
        <v>1803.3</v>
      </c>
      <c r="Q22">
        <v>95.5</v>
      </c>
      <c r="T22">
        <f t="shared" si="17"/>
        <v>1626.5</v>
      </c>
      <c r="U22">
        <f t="shared" si="18"/>
        <v>1471.6</v>
      </c>
      <c r="V22">
        <f t="shared" si="19"/>
        <v>1879.1999999999998</v>
      </c>
      <c r="W22">
        <f t="shared" si="20"/>
        <v>1836.2</v>
      </c>
      <c r="X22">
        <f t="shared" si="21"/>
        <v>1969.7</v>
      </c>
      <c r="Y22">
        <f t="shared" si="22"/>
        <v>1943.2</v>
      </c>
      <c r="Z22">
        <f t="shared" si="23"/>
        <v>1803.3</v>
      </c>
      <c r="AB22">
        <f t="shared" si="5"/>
        <v>21</v>
      </c>
      <c r="AC22">
        <v>12</v>
      </c>
      <c r="AP22">
        <f>SUM(AP2:AP21)</f>
        <v>656740.1</v>
      </c>
      <c r="AS22" s="31">
        <f>SUM(AS2:AS21)</f>
        <v>655227.69999999995</v>
      </c>
      <c r="AT22">
        <f>SUM(AT3:AT21)</f>
        <v>583675.9</v>
      </c>
      <c r="AV22">
        <f>SUM(AV2:AV21)</f>
        <v>697232.7</v>
      </c>
      <c r="BC22">
        <v>1836.2</v>
      </c>
    </row>
    <row r="23" spans="1:55" x14ac:dyDescent="0.2">
      <c r="B23">
        <f>7092-B22</f>
        <v>5212.8</v>
      </c>
      <c r="C23">
        <v>22</v>
      </c>
      <c r="D23">
        <v>2336.8000000000002</v>
      </c>
      <c r="E23">
        <v>93.8</v>
      </c>
      <c r="F23">
        <v>2362.6</v>
      </c>
      <c r="G23">
        <v>85</v>
      </c>
      <c r="H23">
        <v>2522.9</v>
      </c>
      <c r="I23">
        <v>78.2</v>
      </c>
      <c r="J23">
        <v>2643.2</v>
      </c>
      <c r="K23">
        <v>73.7</v>
      </c>
      <c r="L23">
        <v>2865.3</v>
      </c>
      <c r="M23">
        <v>74.599999999999994</v>
      </c>
      <c r="N23">
        <v>3016.9</v>
      </c>
      <c r="O23">
        <v>73.5</v>
      </c>
      <c r="P23">
        <v>3097.2</v>
      </c>
      <c r="Q23">
        <v>72.099999999999994</v>
      </c>
      <c r="T23">
        <f t="shared" si="17"/>
        <v>2336.8000000000002</v>
      </c>
      <c r="U23">
        <f t="shared" si="18"/>
        <v>2362.6</v>
      </c>
      <c r="V23">
        <f t="shared" si="19"/>
        <v>2522.9</v>
      </c>
      <c r="W23">
        <f t="shared" si="20"/>
        <v>2643.2</v>
      </c>
      <c r="X23">
        <f t="shared" si="21"/>
        <v>2865.3</v>
      </c>
      <c r="Y23">
        <f t="shared" si="22"/>
        <v>3016.9</v>
      </c>
      <c r="Z23">
        <f t="shared" si="23"/>
        <v>3097.2</v>
      </c>
      <c r="AB23">
        <f t="shared" si="5"/>
        <v>22</v>
      </c>
      <c r="AC23">
        <v>12</v>
      </c>
      <c r="AE23" t="str">
        <f t="shared" ref="AE23:AF40" si="34">AE2</f>
        <v>311-312</v>
      </c>
      <c r="AF23">
        <f>AF2</f>
        <v>1</v>
      </c>
      <c r="AG23" s="5">
        <f t="shared" ref="AG23:AG38" si="35">AG2*3.412*0.001</f>
        <v>159.61404240000002</v>
      </c>
      <c r="AH23" s="5">
        <f t="shared" ref="AH23:AM23" si="36">AH2*3.412*0.001</f>
        <v>162.34671320000001</v>
      </c>
      <c r="AI23" s="5">
        <f t="shared" si="36"/>
        <v>175.813536</v>
      </c>
      <c r="AJ23" s="5">
        <f t="shared" si="36"/>
        <v>180.4985532</v>
      </c>
      <c r="AK23" s="5">
        <f t="shared" si="36"/>
        <v>181.92203960000003</v>
      </c>
      <c r="AL23" s="5">
        <f t="shared" si="36"/>
        <v>183.31550040000002</v>
      </c>
      <c r="AM23" s="5">
        <f t="shared" si="36"/>
        <v>188.507882</v>
      </c>
      <c r="AP23">
        <f>AP22*3.412*0.001</f>
        <v>2240.7972212</v>
      </c>
      <c r="BC23">
        <v>2643.2</v>
      </c>
    </row>
    <row r="24" spans="1:55" x14ac:dyDescent="0.2">
      <c r="B24">
        <f>5546.4+789</f>
        <v>6335.4</v>
      </c>
      <c r="C24">
        <v>23</v>
      </c>
      <c r="D24">
        <v>5737</v>
      </c>
      <c r="E24">
        <v>222.1</v>
      </c>
      <c r="F24">
        <v>5689.4</v>
      </c>
      <c r="G24">
        <v>202.1</v>
      </c>
      <c r="H24">
        <v>6335.4</v>
      </c>
      <c r="I24">
        <v>196.2</v>
      </c>
      <c r="J24">
        <v>6669.2</v>
      </c>
      <c r="K24">
        <v>199.6</v>
      </c>
      <c r="L24">
        <v>6734.7</v>
      </c>
      <c r="M24">
        <v>205.1</v>
      </c>
      <c r="N24">
        <v>6816.8</v>
      </c>
      <c r="O24">
        <v>192.7</v>
      </c>
      <c r="P24">
        <v>6557.4</v>
      </c>
      <c r="Q24">
        <v>187.3</v>
      </c>
      <c r="T24">
        <f t="shared" si="17"/>
        <v>5737</v>
      </c>
      <c r="U24">
        <f t="shared" si="18"/>
        <v>5689.4</v>
      </c>
      <c r="V24">
        <f t="shared" si="19"/>
        <v>6335.4</v>
      </c>
      <c r="W24">
        <f t="shared" si="20"/>
        <v>6669.2</v>
      </c>
      <c r="X24">
        <f t="shared" si="21"/>
        <v>6734.7</v>
      </c>
      <c r="Y24">
        <f t="shared" si="22"/>
        <v>6816.8</v>
      </c>
      <c r="Z24">
        <f t="shared" si="23"/>
        <v>6557.4</v>
      </c>
      <c r="AB24">
        <f t="shared" si="5"/>
        <v>23</v>
      </c>
      <c r="AC24">
        <v>12</v>
      </c>
      <c r="AE24" t="str">
        <f t="shared" si="34"/>
        <v>313-314</v>
      </c>
      <c r="AF24">
        <f t="shared" si="34"/>
        <v>2</v>
      </c>
      <c r="AG24" s="5">
        <f t="shared" si="35"/>
        <v>91.731961199999986</v>
      </c>
      <c r="AH24" s="5">
        <f t="shared" ref="AH24:AM38" si="37">AH3*3.412*0.001</f>
        <v>94.829033600000017</v>
      </c>
      <c r="AI24" s="5">
        <f t="shared" si="37"/>
        <v>106.82596680000002</v>
      </c>
      <c r="AJ24" s="5">
        <f t="shared" si="37"/>
        <v>107.34117880000001</v>
      </c>
      <c r="AK24" s="5">
        <f t="shared" si="37"/>
        <v>109.2474632</v>
      </c>
      <c r="AL24" s="5">
        <f t="shared" si="37"/>
        <v>105.93475239999999</v>
      </c>
      <c r="AM24" s="5">
        <f t="shared" si="37"/>
        <v>107.106092</v>
      </c>
      <c r="BC24">
        <v>6669.2</v>
      </c>
    </row>
    <row r="25" spans="1:55" x14ac:dyDescent="0.2">
      <c r="B25">
        <f>2651.2+3486+5735</f>
        <v>11872.2</v>
      </c>
      <c r="C25">
        <v>24</v>
      </c>
      <c r="D25">
        <v>1486.7</v>
      </c>
      <c r="E25">
        <v>50.3</v>
      </c>
      <c r="F25">
        <v>1482.1</v>
      </c>
      <c r="G25">
        <v>41.2</v>
      </c>
      <c r="H25">
        <v>1731</v>
      </c>
      <c r="I25">
        <v>39</v>
      </c>
      <c r="J25">
        <v>1819.8</v>
      </c>
      <c r="K25">
        <v>39.5</v>
      </c>
      <c r="L25">
        <v>1839.9</v>
      </c>
      <c r="M25">
        <v>40.6</v>
      </c>
      <c r="N25">
        <v>1856.5</v>
      </c>
      <c r="O25">
        <v>41.7</v>
      </c>
      <c r="P25">
        <v>1931.7</v>
      </c>
      <c r="Q25">
        <v>39.700000000000003</v>
      </c>
      <c r="T25">
        <f t="shared" si="17"/>
        <v>1486.7</v>
      </c>
      <c r="U25">
        <f t="shared" si="18"/>
        <v>1482.1</v>
      </c>
      <c r="V25">
        <f t="shared" si="19"/>
        <v>1731</v>
      </c>
      <c r="W25">
        <f t="shared" si="20"/>
        <v>1819.8</v>
      </c>
      <c r="X25">
        <f t="shared" si="21"/>
        <v>1839.9</v>
      </c>
      <c r="Y25">
        <f t="shared" si="22"/>
        <v>1856.5</v>
      </c>
      <c r="Z25">
        <f t="shared" si="23"/>
        <v>1931.7</v>
      </c>
      <c r="AB25">
        <f t="shared" si="5"/>
        <v>24</v>
      </c>
      <c r="AC25">
        <v>12</v>
      </c>
      <c r="AE25" t="str">
        <f t="shared" si="34"/>
        <v>315-316</v>
      </c>
      <c r="AF25">
        <f t="shared" si="34"/>
        <v>3</v>
      </c>
      <c r="AG25" s="5">
        <f t="shared" si="35"/>
        <v>19.829520399999996</v>
      </c>
      <c r="AH25" s="5">
        <f t="shared" si="37"/>
        <v>20.001826399999999</v>
      </c>
      <c r="AI25" s="5">
        <f t="shared" si="37"/>
        <v>20.253290799999998</v>
      </c>
      <c r="AJ25" s="5">
        <f t="shared" si="37"/>
        <v>20.872910000000001</v>
      </c>
      <c r="AK25" s="5">
        <f t="shared" si="37"/>
        <v>17.573847199999999</v>
      </c>
      <c r="AL25" s="5">
        <f t="shared" si="37"/>
        <v>16.9856184</v>
      </c>
      <c r="AM25" s="5">
        <f t="shared" si="37"/>
        <v>16.344503599999996</v>
      </c>
      <c r="AP25">
        <f>AP17+AP18+AP20</f>
        <v>70426.5</v>
      </c>
      <c r="AQ25">
        <f>AG14+AG15+AG16</f>
        <v>70426.600000000006</v>
      </c>
      <c r="AS25">
        <f>AS17+AS18+AS20</f>
        <v>71551.8</v>
      </c>
      <c r="AT25">
        <f>AH14+AH15+AH16</f>
        <v>71551.799999999988</v>
      </c>
      <c r="AV25">
        <f>AV17+AV18+AV20</f>
        <v>77824.299999999988</v>
      </c>
      <c r="AW25">
        <f>AI14+AI15+AI16</f>
        <v>77824.3</v>
      </c>
      <c r="BC25">
        <v>1819.8</v>
      </c>
    </row>
    <row r="26" spans="1:55" x14ac:dyDescent="0.2">
      <c r="C26">
        <v>25</v>
      </c>
      <c r="D26">
        <v>5160</v>
      </c>
      <c r="E26">
        <v>133.80000000000001</v>
      </c>
      <c r="F26">
        <v>4645</v>
      </c>
      <c r="G26">
        <v>127.1</v>
      </c>
      <c r="H26" s="3">
        <f>B23</f>
        <v>5212.8</v>
      </c>
      <c r="I26">
        <v>221.5</v>
      </c>
      <c r="J26">
        <v>5319.1</v>
      </c>
      <c r="K26">
        <v>114.6</v>
      </c>
      <c r="L26">
        <v>5345.1</v>
      </c>
      <c r="M26">
        <v>120.8</v>
      </c>
      <c r="N26">
        <v>5154.3999999999996</v>
      </c>
      <c r="O26">
        <v>114.2</v>
      </c>
      <c r="P26">
        <v>4953.3999999999996</v>
      </c>
      <c r="Q26">
        <v>111.6</v>
      </c>
      <c r="T26">
        <f t="shared" si="17"/>
        <v>5160</v>
      </c>
      <c r="U26">
        <f t="shared" si="18"/>
        <v>4645</v>
      </c>
      <c r="V26">
        <f t="shared" si="19"/>
        <v>5212.8</v>
      </c>
      <c r="W26">
        <f t="shared" si="20"/>
        <v>5319.1</v>
      </c>
      <c r="X26">
        <f t="shared" si="21"/>
        <v>5345.1</v>
      </c>
      <c r="Y26">
        <f t="shared" si="22"/>
        <v>5154.3999999999996</v>
      </c>
      <c r="Z26">
        <f t="shared" si="23"/>
        <v>4953.3999999999996</v>
      </c>
      <c r="AB26">
        <f t="shared" si="5"/>
        <v>25</v>
      </c>
      <c r="AC26">
        <v>12</v>
      </c>
      <c r="AE26">
        <f t="shared" si="34"/>
        <v>321</v>
      </c>
      <c r="AF26">
        <f t="shared" si="34"/>
        <v>4</v>
      </c>
      <c r="AG26" s="5">
        <f t="shared" si="35"/>
        <v>57.203885999999997</v>
      </c>
      <c r="AH26" s="5">
        <f t="shared" si="37"/>
        <v>60.595755200000006</v>
      </c>
      <c r="AI26" s="5">
        <f t="shared" si="37"/>
        <v>70.843356</v>
      </c>
      <c r="AJ26" s="5">
        <f t="shared" si="37"/>
        <v>73.596157599999998</v>
      </c>
      <c r="AK26" s="5">
        <f t="shared" si="37"/>
        <v>72.144692799999987</v>
      </c>
      <c r="AL26" s="5">
        <f t="shared" si="37"/>
        <v>72.204402799999997</v>
      </c>
      <c r="AM26" s="5">
        <f t="shared" si="37"/>
        <v>70.167438799999985</v>
      </c>
      <c r="BC26">
        <v>5319.1</v>
      </c>
    </row>
    <row r="27" spans="1:55" x14ac:dyDescent="0.2">
      <c r="B27">
        <f>SUM(H21:H27)</f>
        <v>31448.699999999997</v>
      </c>
      <c r="C27">
        <v>26</v>
      </c>
      <c r="D27">
        <v>9925.6</v>
      </c>
      <c r="E27">
        <v>378.6</v>
      </c>
      <c r="F27">
        <v>9918.4</v>
      </c>
      <c r="G27">
        <v>338.8</v>
      </c>
      <c r="H27">
        <v>11872.3</v>
      </c>
      <c r="I27">
        <v>318.3</v>
      </c>
      <c r="J27">
        <v>12831</v>
      </c>
      <c r="K27">
        <v>348</v>
      </c>
      <c r="L27">
        <v>12643.6</v>
      </c>
      <c r="M27">
        <v>348.9</v>
      </c>
      <c r="N27">
        <v>12594.2</v>
      </c>
      <c r="O27">
        <v>333</v>
      </c>
      <c r="P27">
        <v>12244.8</v>
      </c>
      <c r="Q27">
        <v>319.89999999999998</v>
      </c>
      <c r="T27">
        <f t="shared" si="17"/>
        <v>9925.6</v>
      </c>
      <c r="U27">
        <f t="shared" si="18"/>
        <v>9918.4</v>
      </c>
      <c r="V27">
        <f t="shared" si="19"/>
        <v>11872.3</v>
      </c>
      <c r="W27">
        <f t="shared" si="20"/>
        <v>12831</v>
      </c>
      <c r="X27">
        <f t="shared" si="21"/>
        <v>12643.6</v>
      </c>
      <c r="Y27">
        <f t="shared" si="22"/>
        <v>12594.2</v>
      </c>
      <c r="Z27">
        <f t="shared" si="23"/>
        <v>12244.8</v>
      </c>
      <c r="AB27">
        <f t="shared" si="5"/>
        <v>26</v>
      </c>
      <c r="AC27">
        <v>12</v>
      </c>
      <c r="AE27">
        <f t="shared" si="34"/>
        <v>322</v>
      </c>
      <c r="AF27">
        <f t="shared" si="34"/>
        <v>5</v>
      </c>
      <c r="AG27" s="5">
        <f t="shared" si="35"/>
        <v>178.95667040000001</v>
      </c>
      <c r="AH27" s="5">
        <f t="shared" si="37"/>
        <v>198.8902568</v>
      </c>
      <c r="AI27" s="5">
        <f t="shared" si="37"/>
        <v>202.15315239999998</v>
      </c>
      <c r="AJ27" s="5">
        <f t="shared" si="37"/>
        <v>205.36179720000001</v>
      </c>
      <c r="AK27" s="5">
        <f t="shared" si="37"/>
        <v>211.65318400000001</v>
      </c>
      <c r="AL27" s="5">
        <f t="shared" si="37"/>
        <v>224.4471604</v>
      </c>
      <c r="AM27" s="5">
        <f t="shared" si="37"/>
        <v>228.26075280000003</v>
      </c>
      <c r="AQ27">
        <f>SUM(AQ3:AQ26)</f>
        <v>656740.19999999995</v>
      </c>
      <c r="BC27">
        <v>12831</v>
      </c>
    </row>
    <row r="28" spans="1:55" x14ac:dyDescent="0.2">
      <c r="C28">
        <v>27</v>
      </c>
      <c r="D28">
        <v>2461.8000000000002</v>
      </c>
      <c r="E28">
        <v>69.099999999999994</v>
      </c>
      <c r="F28">
        <v>2355.6999999999998</v>
      </c>
      <c r="G28">
        <v>58.9</v>
      </c>
      <c r="H28" s="40">
        <v>2467.6999999999998</v>
      </c>
      <c r="I28">
        <v>48.2</v>
      </c>
      <c r="J28">
        <v>2633</v>
      </c>
      <c r="K28">
        <v>46.1</v>
      </c>
      <c r="L28">
        <v>2535</v>
      </c>
      <c r="M28">
        <v>47</v>
      </c>
      <c r="N28">
        <v>2512.1</v>
      </c>
      <c r="O28">
        <v>41.2</v>
      </c>
      <c r="P28">
        <v>2617.8000000000002</v>
      </c>
      <c r="Q28">
        <v>37.6</v>
      </c>
      <c r="T28">
        <f t="shared" si="17"/>
        <v>2461.8000000000002</v>
      </c>
      <c r="U28">
        <f t="shared" si="18"/>
        <v>2355.6999999999998</v>
      </c>
      <c r="V28">
        <f t="shared" si="19"/>
        <v>2467.6999999999998</v>
      </c>
      <c r="W28">
        <f t="shared" si="20"/>
        <v>2633</v>
      </c>
      <c r="X28">
        <f t="shared" si="21"/>
        <v>2535</v>
      </c>
      <c r="Y28">
        <f t="shared" si="22"/>
        <v>2512.1</v>
      </c>
      <c r="Z28">
        <f t="shared" si="23"/>
        <v>2617.8000000000002</v>
      </c>
      <c r="AB28">
        <f t="shared" si="5"/>
        <v>27</v>
      </c>
      <c r="AC28">
        <v>13</v>
      </c>
      <c r="AE28">
        <f t="shared" si="34"/>
        <v>323</v>
      </c>
      <c r="AF28">
        <f t="shared" si="34"/>
        <v>6</v>
      </c>
      <c r="AG28" s="5">
        <f t="shared" si="35"/>
        <v>42.249089999999995</v>
      </c>
      <c r="AH28" s="5">
        <f t="shared" si="37"/>
        <v>45.046247599999994</v>
      </c>
      <c r="AI28" s="5">
        <f t="shared" si="37"/>
        <v>51.207466600000004</v>
      </c>
      <c r="AJ28" s="5">
        <f t="shared" si="37"/>
        <v>57.368685599999999</v>
      </c>
      <c r="AK28" s="5">
        <f t="shared" si="37"/>
        <v>56.856203199999996</v>
      </c>
      <c r="AL28" s="5">
        <f t="shared" si="37"/>
        <v>59.220719199999991</v>
      </c>
      <c r="AM28" s="5">
        <f t="shared" si="37"/>
        <v>58.329845999999996</v>
      </c>
      <c r="BC28">
        <v>2633</v>
      </c>
    </row>
    <row r="29" spans="1:55" x14ac:dyDescent="0.2">
      <c r="C29">
        <v>28</v>
      </c>
      <c r="D29">
        <v>1554.6</v>
      </c>
      <c r="E29">
        <v>63.6</v>
      </c>
      <c r="F29">
        <v>1342.9</v>
      </c>
      <c r="G29">
        <v>50.2</v>
      </c>
      <c r="H29" s="40">
        <v>1543.9</v>
      </c>
      <c r="I29">
        <v>43.4</v>
      </c>
      <c r="J29">
        <v>1700.5</v>
      </c>
      <c r="K29">
        <v>46.7</v>
      </c>
      <c r="L29">
        <v>1819.3</v>
      </c>
      <c r="M29">
        <v>48.4</v>
      </c>
      <c r="N29">
        <v>1818.1</v>
      </c>
      <c r="O29">
        <v>49.5</v>
      </c>
      <c r="P29">
        <v>1789.6</v>
      </c>
      <c r="Q29">
        <v>47.2</v>
      </c>
      <c r="T29">
        <f t="shared" si="17"/>
        <v>1554.6</v>
      </c>
      <c r="U29">
        <f t="shared" si="18"/>
        <v>1342.9</v>
      </c>
      <c r="V29">
        <f t="shared" si="19"/>
        <v>1543.9</v>
      </c>
      <c r="W29">
        <f t="shared" si="20"/>
        <v>1700.5</v>
      </c>
      <c r="X29">
        <f t="shared" si="21"/>
        <v>1819.3</v>
      </c>
      <c r="Y29">
        <f t="shared" si="22"/>
        <v>1818.1</v>
      </c>
      <c r="Z29">
        <f t="shared" si="23"/>
        <v>1789.6</v>
      </c>
      <c r="AB29">
        <f t="shared" si="5"/>
        <v>28</v>
      </c>
      <c r="AC29">
        <v>13</v>
      </c>
      <c r="AE29">
        <f t="shared" si="34"/>
        <v>324</v>
      </c>
      <c r="AF29">
        <f t="shared" si="34"/>
        <v>7</v>
      </c>
      <c r="AG29" s="5">
        <f t="shared" si="35"/>
        <v>119.877208</v>
      </c>
      <c r="AH29" s="5">
        <f t="shared" si="37"/>
        <v>126.45008479999998</v>
      </c>
      <c r="AI29" s="5">
        <f t="shared" si="37"/>
        <v>114.11706960000001</v>
      </c>
      <c r="AJ29" s="5">
        <f t="shared" si="37"/>
        <v>117.47174799999999</v>
      </c>
      <c r="AK29" s="5">
        <f t="shared" si="37"/>
        <v>116.43211160000001</v>
      </c>
      <c r="AL29" s="5">
        <f t="shared" si="37"/>
        <v>120.32963919999999</v>
      </c>
      <c r="AM29" s="5">
        <f t="shared" si="37"/>
        <v>119.63222640000002</v>
      </c>
      <c r="BC29">
        <v>1700.5</v>
      </c>
    </row>
    <row r="30" spans="1:55" x14ac:dyDescent="0.2">
      <c r="C30">
        <v>29</v>
      </c>
      <c r="D30">
        <v>3594.7</v>
      </c>
      <c r="E30">
        <v>97.5</v>
      </c>
      <c r="F30">
        <v>3319</v>
      </c>
      <c r="G30">
        <v>78.8</v>
      </c>
      <c r="H30" s="40">
        <v>3326.3</v>
      </c>
      <c r="I30">
        <v>59.8</v>
      </c>
      <c r="J30">
        <v>3354.8</v>
      </c>
      <c r="K30">
        <v>62.1</v>
      </c>
      <c r="L30">
        <v>3426.8</v>
      </c>
      <c r="M30">
        <v>63.8</v>
      </c>
      <c r="N30">
        <v>3546.6</v>
      </c>
      <c r="O30">
        <v>66.099999999999994</v>
      </c>
      <c r="P30">
        <v>3396</v>
      </c>
      <c r="Q30">
        <v>63.6</v>
      </c>
      <c r="T30">
        <f t="shared" si="17"/>
        <v>3594.7</v>
      </c>
      <c r="U30">
        <f t="shared" si="18"/>
        <v>3319</v>
      </c>
      <c r="V30">
        <f t="shared" si="19"/>
        <v>3326.3</v>
      </c>
      <c r="W30">
        <f t="shared" si="20"/>
        <v>3354.8</v>
      </c>
      <c r="X30">
        <f t="shared" si="21"/>
        <v>3426.8</v>
      </c>
      <c r="Y30">
        <f t="shared" si="22"/>
        <v>3546.6</v>
      </c>
      <c r="Z30">
        <f t="shared" si="23"/>
        <v>3396</v>
      </c>
      <c r="AB30">
        <f t="shared" si="5"/>
        <v>29</v>
      </c>
      <c r="AC30">
        <v>13</v>
      </c>
      <c r="AE30">
        <f t="shared" si="34"/>
        <v>325</v>
      </c>
      <c r="AF30">
        <f t="shared" si="34"/>
        <v>8</v>
      </c>
      <c r="AG30" s="5">
        <f t="shared" si="35"/>
        <v>429.44284999999991</v>
      </c>
      <c r="AH30" s="5">
        <f t="shared" si="37"/>
        <v>408.37272640000003</v>
      </c>
      <c r="AI30" s="5">
        <f t="shared" si="37"/>
        <v>424.05530199999998</v>
      </c>
      <c r="AJ30" s="5">
        <f t="shared" si="37"/>
        <v>435.19582320000001</v>
      </c>
      <c r="AK30" s="5">
        <f t="shared" si="37"/>
        <v>460.61419959999995</v>
      </c>
      <c r="AL30" s="5">
        <f t="shared" si="37"/>
        <v>488.9573423999999</v>
      </c>
      <c r="AM30" s="5">
        <f t="shared" si="37"/>
        <v>494.68029000000001</v>
      </c>
      <c r="BC30">
        <v>3354.8</v>
      </c>
    </row>
    <row r="31" spans="1:55" x14ac:dyDescent="0.2">
      <c r="A31">
        <f>H30+H31</f>
        <v>4222.3</v>
      </c>
      <c r="C31">
        <v>30</v>
      </c>
      <c r="D31">
        <v>820.1</v>
      </c>
      <c r="E31">
        <v>29.6</v>
      </c>
      <c r="F31">
        <v>834</v>
      </c>
      <c r="G31">
        <v>27</v>
      </c>
      <c r="H31" s="40">
        <v>896</v>
      </c>
      <c r="I31">
        <v>22.3</v>
      </c>
      <c r="J31">
        <v>898.6</v>
      </c>
      <c r="K31">
        <v>22.1</v>
      </c>
      <c r="L31">
        <v>934.7</v>
      </c>
      <c r="M31">
        <v>21.7</v>
      </c>
      <c r="N31">
        <v>983.3</v>
      </c>
      <c r="O31">
        <v>21.4</v>
      </c>
      <c r="P31">
        <v>861.5</v>
      </c>
      <c r="Q31">
        <v>19.5</v>
      </c>
      <c r="T31">
        <f t="shared" si="17"/>
        <v>820.1</v>
      </c>
      <c r="U31">
        <f t="shared" si="18"/>
        <v>834</v>
      </c>
      <c r="V31">
        <f t="shared" si="19"/>
        <v>896</v>
      </c>
      <c r="W31">
        <f t="shared" si="20"/>
        <v>898.6</v>
      </c>
      <c r="X31">
        <f t="shared" si="21"/>
        <v>934.7</v>
      </c>
      <c r="Y31">
        <f t="shared" si="22"/>
        <v>983.3</v>
      </c>
      <c r="Z31">
        <f t="shared" si="23"/>
        <v>861.5</v>
      </c>
      <c r="AB31">
        <f t="shared" si="5"/>
        <v>30</v>
      </c>
      <c r="AC31">
        <v>13</v>
      </c>
      <c r="AE31">
        <f t="shared" si="34"/>
        <v>326</v>
      </c>
      <c r="AF31">
        <f t="shared" si="34"/>
        <v>9</v>
      </c>
      <c r="AG31" s="5">
        <f t="shared" si="35"/>
        <v>102.70972999999999</v>
      </c>
      <c r="AH31" s="5">
        <f t="shared" si="37"/>
        <v>106.52741680000001</v>
      </c>
      <c r="AI31" s="5">
        <f t="shared" si="37"/>
        <v>112.86896</v>
      </c>
      <c r="AJ31" s="5">
        <f t="shared" si="37"/>
        <v>118.67174839999998</v>
      </c>
      <c r="AK31" s="5">
        <f t="shared" si="37"/>
        <v>121.4088548</v>
      </c>
      <c r="AL31" s="5">
        <f t="shared" si="37"/>
        <v>125.14465360000001</v>
      </c>
      <c r="AM31" s="5">
        <f t="shared" si="37"/>
        <v>123.27760720000001</v>
      </c>
      <c r="BC31">
        <v>898.6</v>
      </c>
    </row>
    <row r="32" spans="1:55" x14ac:dyDescent="0.2">
      <c r="C32">
        <v>31</v>
      </c>
      <c r="D32">
        <v>3329.8</v>
      </c>
      <c r="E32">
        <v>78.3</v>
      </c>
      <c r="F32">
        <v>3520.5</v>
      </c>
      <c r="G32">
        <v>74.7</v>
      </c>
      <c r="H32" s="40">
        <v>4192.5</v>
      </c>
      <c r="I32">
        <v>72.900000000000006</v>
      </c>
      <c r="J32">
        <v>4448.3</v>
      </c>
      <c r="K32">
        <v>77.099999999999994</v>
      </c>
      <c r="L32">
        <v>4740.2</v>
      </c>
      <c r="M32">
        <v>86.9</v>
      </c>
      <c r="N32">
        <v>4762.1000000000004</v>
      </c>
      <c r="O32">
        <v>83.2</v>
      </c>
      <c r="P32">
        <v>4700.1000000000004</v>
      </c>
      <c r="Q32">
        <v>75.3</v>
      </c>
      <c r="T32">
        <f t="shared" si="17"/>
        <v>3329.8</v>
      </c>
      <c r="U32">
        <f t="shared" si="18"/>
        <v>3520.5</v>
      </c>
      <c r="V32">
        <f t="shared" si="19"/>
        <v>4192.5</v>
      </c>
      <c r="W32">
        <f t="shared" si="20"/>
        <v>4448.3</v>
      </c>
      <c r="X32">
        <f t="shared" si="21"/>
        <v>4740.2</v>
      </c>
      <c r="Y32">
        <f t="shared" si="22"/>
        <v>4762.1000000000004</v>
      </c>
      <c r="Z32">
        <f t="shared" si="23"/>
        <v>4700.1000000000004</v>
      </c>
      <c r="AB32">
        <f t="shared" si="5"/>
        <v>31</v>
      </c>
      <c r="AC32">
        <v>13</v>
      </c>
      <c r="AE32">
        <f t="shared" si="34"/>
        <v>327</v>
      </c>
      <c r="AF32">
        <f t="shared" si="34"/>
        <v>10</v>
      </c>
      <c r="AG32" s="5">
        <f t="shared" si="35"/>
        <v>104.12332160000001</v>
      </c>
      <c r="AH32" s="5">
        <f t="shared" si="37"/>
        <v>107.91610079999998</v>
      </c>
      <c r="AI32" s="5">
        <f t="shared" si="37"/>
        <v>113.658838</v>
      </c>
      <c r="AJ32" s="5">
        <f t="shared" si="37"/>
        <v>116.29324320000001</v>
      </c>
      <c r="AK32" s="5">
        <f t="shared" si="37"/>
        <v>113.73663160000001</v>
      </c>
      <c r="AL32" s="5">
        <f t="shared" si="37"/>
        <v>115.537144</v>
      </c>
      <c r="AM32" s="5">
        <f t="shared" si="37"/>
        <v>112.22511560000001</v>
      </c>
      <c r="BC32">
        <v>4448.3</v>
      </c>
    </row>
    <row r="33" spans="1:55" x14ac:dyDescent="0.2">
      <c r="C33">
        <v>32</v>
      </c>
      <c r="D33">
        <v>2144.3000000000002</v>
      </c>
      <c r="E33">
        <v>64.2</v>
      </c>
      <c r="F33">
        <v>2107.6999999999998</v>
      </c>
      <c r="G33">
        <v>60.5</v>
      </c>
      <c r="H33" s="40">
        <v>2467.5</v>
      </c>
      <c r="I33">
        <v>49.9</v>
      </c>
      <c r="J33">
        <v>2577.6999999999998</v>
      </c>
      <c r="K33">
        <v>51.1</v>
      </c>
      <c r="L33">
        <v>2539</v>
      </c>
      <c r="M33">
        <v>50.9</v>
      </c>
      <c r="N33">
        <v>2636.1</v>
      </c>
      <c r="O33">
        <v>49.4</v>
      </c>
      <c r="P33">
        <v>2695.9</v>
      </c>
      <c r="Q33">
        <v>52.8</v>
      </c>
      <c r="T33">
        <f t="shared" si="17"/>
        <v>2144.3000000000002</v>
      </c>
      <c r="U33">
        <f t="shared" si="18"/>
        <v>2107.6999999999998</v>
      </c>
      <c r="V33">
        <f t="shared" si="19"/>
        <v>2467.5</v>
      </c>
      <c r="W33">
        <f t="shared" si="20"/>
        <v>2577.6999999999998</v>
      </c>
      <c r="X33">
        <f t="shared" si="21"/>
        <v>2539</v>
      </c>
      <c r="Y33">
        <f t="shared" si="22"/>
        <v>2636.1</v>
      </c>
      <c r="Z33">
        <f t="shared" si="23"/>
        <v>2695.9</v>
      </c>
      <c r="AB33">
        <f t="shared" si="5"/>
        <v>32</v>
      </c>
      <c r="AC33">
        <v>13</v>
      </c>
      <c r="AE33">
        <f t="shared" si="34"/>
        <v>331</v>
      </c>
      <c r="AF33">
        <f t="shared" si="34"/>
        <v>11</v>
      </c>
      <c r="AG33" s="5">
        <f t="shared" si="35"/>
        <v>454.3153064</v>
      </c>
      <c r="AH33" s="5">
        <f t="shared" si="37"/>
        <v>428.01424559999998</v>
      </c>
      <c r="AI33" s="5">
        <f t="shared" si="37"/>
        <v>445.84160439999999</v>
      </c>
      <c r="AJ33" s="5">
        <f t="shared" si="37"/>
        <v>513.15797599999996</v>
      </c>
      <c r="AK33" s="5">
        <f t="shared" si="37"/>
        <v>501.60596759999999</v>
      </c>
      <c r="AL33" s="5">
        <f t="shared" si="37"/>
        <v>507.69707</v>
      </c>
      <c r="AM33" s="5">
        <f t="shared" si="37"/>
        <v>503.69377039999995</v>
      </c>
      <c r="BC33">
        <v>2577.6999999999998</v>
      </c>
    </row>
    <row r="34" spans="1:55" x14ac:dyDescent="0.2">
      <c r="C34">
        <v>33</v>
      </c>
      <c r="D34">
        <v>4829.1000000000004</v>
      </c>
      <c r="E34">
        <v>121.9</v>
      </c>
      <c r="F34">
        <v>4930.8</v>
      </c>
      <c r="G34">
        <v>108.4</v>
      </c>
      <c r="H34" s="40">
        <v>4816.8999999999996</v>
      </c>
      <c r="I34">
        <v>96.1</v>
      </c>
      <c r="J34">
        <v>5048.3999999999996</v>
      </c>
      <c r="K34">
        <v>99.5</v>
      </c>
      <c r="L34">
        <v>5278.8</v>
      </c>
      <c r="M34">
        <v>97.3</v>
      </c>
      <c r="N34">
        <v>5457.4</v>
      </c>
      <c r="O34">
        <v>96.2</v>
      </c>
      <c r="P34">
        <v>5299.9</v>
      </c>
      <c r="Q34">
        <v>91.4</v>
      </c>
      <c r="T34">
        <f t="shared" si="17"/>
        <v>4829.1000000000004</v>
      </c>
      <c r="U34">
        <f t="shared" si="18"/>
        <v>4930.8</v>
      </c>
      <c r="V34">
        <f t="shared" si="19"/>
        <v>4816.8999999999996</v>
      </c>
      <c r="W34">
        <f t="shared" si="20"/>
        <v>5048.3999999999996</v>
      </c>
      <c r="X34">
        <f t="shared" si="21"/>
        <v>5278.8</v>
      </c>
      <c r="Y34">
        <f t="shared" si="22"/>
        <v>5457.4</v>
      </c>
      <c r="Z34">
        <f t="shared" si="23"/>
        <v>5299.9</v>
      </c>
      <c r="AB34">
        <f t="shared" si="5"/>
        <v>33</v>
      </c>
      <c r="AC34">
        <v>13</v>
      </c>
      <c r="AE34">
        <f t="shared" si="34"/>
        <v>332</v>
      </c>
      <c r="AF34">
        <f t="shared" si="34"/>
        <v>12</v>
      </c>
      <c r="AG34" s="5">
        <f t="shared" si="35"/>
        <v>95.447629199999994</v>
      </c>
      <c r="AH34" s="5">
        <f t="shared" si="37"/>
        <v>93.285103599999999</v>
      </c>
      <c r="AI34" s="5">
        <f t="shared" si="37"/>
        <v>107.30296439999998</v>
      </c>
      <c r="AJ34" s="5">
        <f t="shared" si="37"/>
        <v>112.8068616</v>
      </c>
      <c r="AK34" s="5">
        <f t="shared" si="37"/>
        <v>113.31559080000001</v>
      </c>
      <c r="AL34" s="5">
        <f t="shared" si="37"/>
        <v>113.06412639999999</v>
      </c>
      <c r="AM34" s="5">
        <f t="shared" si="37"/>
        <v>110.34919799999999</v>
      </c>
      <c r="BC34">
        <v>5048.3999999999996</v>
      </c>
    </row>
    <row r="35" spans="1:55" x14ac:dyDescent="0.2">
      <c r="A35">
        <f>SUM(F28:F37)</f>
        <v>29983.899999999998</v>
      </c>
      <c r="B35">
        <f>SUM(H28:H37)</f>
        <v>33354.100000000006</v>
      </c>
      <c r="C35">
        <v>34</v>
      </c>
      <c r="D35">
        <v>2612</v>
      </c>
      <c r="E35">
        <v>78.099999999999994</v>
      </c>
      <c r="F35">
        <v>2410.8000000000002</v>
      </c>
      <c r="G35">
        <v>73.599999999999994</v>
      </c>
      <c r="H35" s="3">
        <v>4256.1000000000004</v>
      </c>
      <c r="I35">
        <v>73.05</v>
      </c>
      <c r="J35">
        <v>4623.2</v>
      </c>
      <c r="K35">
        <v>72.5</v>
      </c>
      <c r="L35">
        <v>4884.8</v>
      </c>
      <c r="M35">
        <v>91.4</v>
      </c>
      <c r="N35">
        <v>4815</v>
      </c>
      <c r="O35">
        <v>86.8</v>
      </c>
      <c r="P35">
        <v>4790.6000000000004</v>
      </c>
      <c r="Q35">
        <v>84.1</v>
      </c>
      <c r="T35">
        <f t="shared" si="17"/>
        <v>2612</v>
      </c>
      <c r="U35">
        <f t="shared" si="18"/>
        <v>2410.8000000000002</v>
      </c>
      <c r="V35">
        <f t="shared" si="19"/>
        <v>4256.1000000000004</v>
      </c>
      <c r="W35">
        <f t="shared" si="20"/>
        <v>4623.2</v>
      </c>
      <c r="X35">
        <f t="shared" si="21"/>
        <v>4884.8</v>
      </c>
      <c r="Y35">
        <f t="shared" si="22"/>
        <v>4815</v>
      </c>
      <c r="Z35">
        <f t="shared" si="23"/>
        <v>4790.6000000000004</v>
      </c>
      <c r="AB35">
        <f t="shared" si="5"/>
        <v>34</v>
      </c>
      <c r="AC35">
        <v>13</v>
      </c>
      <c r="AE35">
        <f t="shared" si="34"/>
        <v>333</v>
      </c>
      <c r="AF35">
        <f t="shared" si="34"/>
        <v>13</v>
      </c>
      <c r="AG35" s="5">
        <f t="shared" si="35"/>
        <v>91.40918600000002</v>
      </c>
      <c r="AH35" s="5">
        <f t="shared" si="37"/>
        <v>89.682031599999988</v>
      </c>
      <c r="AI35" s="5">
        <f t="shared" si="37"/>
        <v>100.69016720000002</v>
      </c>
      <c r="AJ35" s="5">
        <f t="shared" si="37"/>
        <v>105.40452760000001</v>
      </c>
      <c r="AK35" s="5">
        <f t="shared" si="37"/>
        <v>111.21891679999999</v>
      </c>
      <c r="AL35" s="5">
        <f t="shared" si="37"/>
        <v>113.32548559999999</v>
      </c>
      <c r="AM35" s="5">
        <f t="shared" si="37"/>
        <v>111.2660024</v>
      </c>
      <c r="BC35">
        <v>4623.2</v>
      </c>
    </row>
    <row r="36" spans="1:55" x14ac:dyDescent="0.2">
      <c r="C36">
        <v>35</v>
      </c>
      <c r="D36">
        <v>5998.5</v>
      </c>
      <c r="E36">
        <v>62.6</v>
      </c>
      <c r="F36">
        <v>6199.7</v>
      </c>
      <c r="G36">
        <v>50.2</v>
      </c>
      <c r="H36" s="40">
        <v>6134.2</v>
      </c>
      <c r="I36">
        <v>48.7</v>
      </c>
      <c r="J36">
        <v>5913.5</v>
      </c>
      <c r="K36">
        <v>48.6</v>
      </c>
      <c r="L36">
        <v>6268.5</v>
      </c>
      <c r="M36">
        <v>39.799999999999997</v>
      </c>
      <c r="N36">
        <v>5968.5</v>
      </c>
      <c r="O36">
        <v>38.700000000000003</v>
      </c>
      <c r="P36">
        <v>5890.5</v>
      </c>
      <c r="Q36">
        <v>33.1</v>
      </c>
      <c r="T36">
        <f t="shared" si="17"/>
        <v>5998.5</v>
      </c>
      <c r="U36">
        <f t="shared" si="18"/>
        <v>6199.7</v>
      </c>
      <c r="V36">
        <f t="shared" si="19"/>
        <v>6134.2</v>
      </c>
      <c r="W36">
        <f t="shared" si="20"/>
        <v>5913.5</v>
      </c>
      <c r="X36">
        <f t="shared" si="21"/>
        <v>6268.5</v>
      </c>
      <c r="Y36">
        <f t="shared" si="22"/>
        <v>5968.5</v>
      </c>
      <c r="Z36">
        <f t="shared" si="23"/>
        <v>5890.5</v>
      </c>
      <c r="AB36">
        <f t="shared" si="5"/>
        <v>35</v>
      </c>
      <c r="AC36">
        <v>14</v>
      </c>
      <c r="AE36">
        <f t="shared" si="34"/>
        <v>334</v>
      </c>
      <c r="AF36">
        <f t="shared" si="34"/>
        <v>14</v>
      </c>
      <c r="AG36" s="5">
        <f t="shared" si="35"/>
        <v>101.92428760000001</v>
      </c>
      <c r="AH36" s="5">
        <f t="shared" si="37"/>
        <v>106.58234999999999</v>
      </c>
      <c r="AI36" s="5">
        <f t="shared" si="37"/>
        <v>114.093868</v>
      </c>
      <c r="AJ36" s="5">
        <f t="shared" si="37"/>
        <v>116.572686</v>
      </c>
      <c r="AK36" s="5">
        <f t="shared" si="37"/>
        <v>120.24502160000002</v>
      </c>
      <c r="AL36" s="5">
        <f t="shared" si="37"/>
        <v>124.29574799999999</v>
      </c>
      <c r="AM36" s="5">
        <f t="shared" si="37"/>
        <v>122.83984760000001</v>
      </c>
      <c r="BC36">
        <v>5913.5</v>
      </c>
    </row>
    <row r="37" spans="1:55" x14ac:dyDescent="0.2">
      <c r="C37">
        <v>36</v>
      </c>
      <c r="D37">
        <v>2928.9</v>
      </c>
      <c r="E37">
        <v>81.3</v>
      </c>
      <c r="F37">
        <v>2962.8</v>
      </c>
      <c r="G37">
        <v>74.5</v>
      </c>
      <c r="H37" s="40">
        <v>3253</v>
      </c>
      <c r="I37">
        <v>62.6</v>
      </c>
      <c r="J37">
        <v>3220.8</v>
      </c>
      <c r="K37">
        <v>64.3</v>
      </c>
      <c r="L37">
        <v>3898.1</v>
      </c>
      <c r="M37">
        <v>75.3</v>
      </c>
      <c r="N37">
        <v>4168.7</v>
      </c>
      <c r="O37">
        <v>65.099999999999994</v>
      </c>
      <c r="P37">
        <v>4035.8</v>
      </c>
      <c r="Q37">
        <v>61.2</v>
      </c>
      <c r="T37">
        <f t="shared" si="17"/>
        <v>2928.9</v>
      </c>
      <c r="U37">
        <f t="shared" si="18"/>
        <v>2962.8</v>
      </c>
      <c r="V37">
        <f t="shared" si="19"/>
        <v>3253</v>
      </c>
      <c r="W37">
        <f t="shared" si="20"/>
        <v>3220.8</v>
      </c>
      <c r="X37">
        <f t="shared" si="21"/>
        <v>3898.1</v>
      </c>
      <c r="Y37">
        <f t="shared" si="22"/>
        <v>4168.7</v>
      </c>
      <c r="Z37">
        <f t="shared" si="23"/>
        <v>4035.8</v>
      </c>
      <c r="AB37">
        <f t="shared" si="5"/>
        <v>36</v>
      </c>
      <c r="AC37">
        <v>13</v>
      </c>
      <c r="AE37">
        <f t="shared" si="34"/>
        <v>335</v>
      </c>
      <c r="AF37">
        <f t="shared" si="34"/>
        <v>15</v>
      </c>
      <c r="AG37" s="5">
        <f t="shared" si="35"/>
        <v>46.962085600000002</v>
      </c>
      <c r="AH37" s="5">
        <f t="shared" si="37"/>
        <v>47.870360000000005</v>
      </c>
      <c r="AI37" s="5">
        <f t="shared" si="37"/>
        <v>50.752476399999999</v>
      </c>
      <c r="AJ37" s="5">
        <f t="shared" si="37"/>
        <v>52.4536996</v>
      </c>
      <c r="AK37" s="5">
        <f t="shared" si="37"/>
        <v>53.105732800000006</v>
      </c>
      <c r="AL37" s="5">
        <f t="shared" si="37"/>
        <v>52.268428</v>
      </c>
      <c r="AM37" s="5">
        <f t="shared" si="37"/>
        <v>50.343377600000004</v>
      </c>
      <c r="BC37">
        <v>3220.8</v>
      </c>
    </row>
    <row r="38" spans="1:55" x14ac:dyDescent="0.2">
      <c r="A38">
        <f>SUM(H38:H43)</f>
        <v>31344.2</v>
      </c>
      <c r="C38">
        <v>37</v>
      </c>
      <c r="D38">
        <v>5841.9</v>
      </c>
      <c r="E38">
        <v>120.1</v>
      </c>
      <c r="F38">
        <v>5792.6</v>
      </c>
      <c r="G38">
        <v>103.8</v>
      </c>
      <c r="H38">
        <v>5469.7</v>
      </c>
      <c r="I38">
        <v>90.5</v>
      </c>
      <c r="J38">
        <v>5517.5</v>
      </c>
      <c r="K38">
        <v>88.4</v>
      </c>
      <c r="L38">
        <v>5719.2</v>
      </c>
      <c r="M38">
        <v>87.8</v>
      </c>
      <c r="N38">
        <v>5637.7</v>
      </c>
      <c r="O38">
        <v>84.4</v>
      </c>
      <c r="P38">
        <v>5487</v>
      </c>
      <c r="Q38">
        <v>81.5</v>
      </c>
      <c r="T38">
        <f t="shared" si="17"/>
        <v>5841.9</v>
      </c>
      <c r="U38">
        <f t="shared" si="18"/>
        <v>5792.6</v>
      </c>
      <c r="V38">
        <f t="shared" si="19"/>
        <v>5469.7</v>
      </c>
      <c r="W38">
        <f t="shared" si="20"/>
        <v>5517.5</v>
      </c>
      <c r="X38">
        <f t="shared" si="21"/>
        <v>5719.2</v>
      </c>
      <c r="Y38">
        <f t="shared" si="22"/>
        <v>5637.7</v>
      </c>
      <c r="Z38">
        <f t="shared" si="23"/>
        <v>5487</v>
      </c>
      <c r="AB38">
        <f t="shared" si="5"/>
        <v>37</v>
      </c>
      <c r="AC38">
        <v>15</v>
      </c>
      <c r="AE38">
        <f t="shared" si="34"/>
        <v>336</v>
      </c>
      <c r="AF38">
        <f t="shared" si="34"/>
        <v>16</v>
      </c>
      <c r="AG38" s="5">
        <f t="shared" si="35"/>
        <v>117.83819680000001</v>
      </c>
      <c r="AH38" s="5">
        <f t="shared" si="37"/>
        <v>122.2560544</v>
      </c>
      <c r="AI38" s="5">
        <f t="shared" si="37"/>
        <v>130.64957439999998</v>
      </c>
      <c r="AJ38" s="5">
        <f t="shared" si="37"/>
        <v>143.94989159999997</v>
      </c>
      <c r="AK38" s="5">
        <f t="shared" si="37"/>
        <v>142.9163968</v>
      </c>
      <c r="AL38" s="5">
        <f t="shared" si="37"/>
        <v>145.91690960000003</v>
      </c>
      <c r="AM38" s="5">
        <f t="shared" si="37"/>
        <v>139.50132600000001</v>
      </c>
      <c r="BC38">
        <v>5517.5</v>
      </c>
    </row>
    <row r="39" spans="1:55" x14ac:dyDescent="0.2">
      <c r="C39">
        <v>38</v>
      </c>
      <c r="D39">
        <v>2416.9</v>
      </c>
      <c r="E39">
        <v>83.7</v>
      </c>
      <c r="F39">
        <v>2476.3000000000002</v>
      </c>
      <c r="G39">
        <v>72.2</v>
      </c>
      <c r="H39">
        <v>2482.8000000000002</v>
      </c>
      <c r="I39">
        <v>55.9</v>
      </c>
      <c r="J39">
        <v>2478.1</v>
      </c>
      <c r="K39">
        <v>54</v>
      </c>
      <c r="L39">
        <v>2451.3000000000002</v>
      </c>
      <c r="M39">
        <v>57.6</v>
      </c>
      <c r="N39">
        <v>2544.8000000000002</v>
      </c>
      <c r="O39">
        <v>53.4</v>
      </c>
      <c r="P39">
        <v>2349.8000000000002</v>
      </c>
      <c r="Q39">
        <v>46.7</v>
      </c>
      <c r="T39">
        <f t="shared" si="17"/>
        <v>2416.9</v>
      </c>
      <c r="U39">
        <f t="shared" si="18"/>
        <v>2476.3000000000002</v>
      </c>
      <c r="V39">
        <f t="shared" si="19"/>
        <v>2482.8000000000002</v>
      </c>
      <c r="W39">
        <f t="shared" si="20"/>
        <v>2478.1</v>
      </c>
      <c r="X39">
        <f t="shared" si="21"/>
        <v>2451.3000000000002</v>
      </c>
      <c r="Y39">
        <f t="shared" si="22"/>
        <v>2544.8000000000002</v>
      </c>
      <c r="Z39">
        <f t="shared" si="23"/>
        <v>2349.8000000000002</v>
      </c>
      <c r="AB39">
        <f t="shared" si="5"/>
        <v>38</v>
      </c>
      <c r="AC39">
        <v>15</v>
      </c>
      <c r="AE39">
        <f t="shared" si="34"/>
        <v>337</v>
      </c>
      <c r="AF39">
        <f t="shared" si="34"/>
        <v>17</v>
      </c>
      <c r="AG39" s="5">
        <f t="shared" ref="AG39:AM39" si="38">AG18*3.412*0.001</f>
        <v>15.2693824</v>
      </c>
      <c r="AH39" s="5">
        <f t="shared" si="38"/>
        <v>15.963042</v>
      </c>
      <c r="AI39" s="5">
        <f t="shared" si="38"/>
        <v>19.492073600000001</v>
      </c>
      <c r="AJ39" s="5">
        <f t="shared" si="38"/>
        <v>22.093041200000002</v>
      </c>
      <c r="AK39" s="5">
        <f t="shared" si="38"/>
        <v>21.479563600000002</v>
      </c>
      <c r="AL39" s="5">
        <f t="shared" si="38"/>
        <v>20.350191600000002</v>
      </c>
      <c r="AM39" s="5">
        <f t="shared" si="38"/>
        <v>19.850674799999997</v>
      </c>
      <c r="BC39">
        <v>2478.1</v>
      </c>
    </row>
    <row r="40" spans="1:55" x14ac:dyDescent="0.2">
      <c r="C40">
        <v>39</v>
      </c>
      <c r="D40">
        <v>2666.7</v>
      </c>
      <c r="E40">
        <v>81</v>
      </c>
      <c r="F40">
        <v>2784.3</v>
      </c>
      <c r="G40">
        <v>79.2</v>
      </c>
      <c r="H40">
        <v>2944.2</v>
      </c>
      <c r="I40">
        <v>83.5</v>
      </c>
      <c r="J40">
        <v>3102.7</v>
      </c>
      <c r="K40">
        <v>64.900000000000006</v>
      </c>
      <c r="L40">
        <v>3032.7</v>
      </c>
      <c r="M40">
        <v>63</v>
      </c>
      <c r="N40">
        <v>3119.6</v>
      </c>
      <c r="O40">
        <v>63.2</v>
      </c>
      <c r="P40">
        <v>3004.5</v>
      </c>
      <c r="Q40">
        <v>58</v>
      </c>
      <c r="T40">
        <f t="shared" si="17"/>
        <v>2666.7</v>
      </c>
      <c r="U40">
        <f t="shared" si="18"/>
        <v>2784.3</v>
      </c>
      <c r="V40">
        <f t="shared" si="19"/>
        <v>2944.2</v>
      </c>
      <c r="W40">
        <f t="shared" si="20"/>
        <v>3102.7</v>
      </c>
      <c r="X40">
        <f t="shared" si="21"/>
        <v>3032.7</v>
      </c>
      <c r="Y40">
        <f t="shared" si="22"/>
        <v>3119.6</v>
      </c>
      <c r="Z40">
        <f t="shared" si="23"/>
        <v>3004.5</v>
      </c>
      <c r="AB40">
        <f t="shared" si="5"/>
        <v>39</v>
      </c>
      <c r="AC40">
        <v>15</v>
      </c>
      <c r="AE40">
        <f t="shared" si="34"/>
        <v>339</v>
      </c>
      <c r="AF40">
        <f t="shared" si="34"/>
        <v>18</v>
      </c>
      <c r="AG40" s="5">
        <f t="shared" ref="AG40:AM40" si="39">AG19*3.412*0.001</f>
        <v>11.8935496</v>
      </c>
      <c r="AH40" s="5">
        <f t="shared" si="39"/>
        <v>12.127954000000001</v>
      </c>
      <c r="AI40" s="5">
        <f t="shared" si="39"/>
        <v>15.821102799999998</v>
      </c>
      <c r="AJ40" s="5">
        <f t="shared" si="39"/>
        <v>16.3509864</v>
      </c>
      <c r="AK40" s="5">
        <f t="shared" si="39"/>
        <v>16.945015599999998</v>
      </c>
      <c r="AL40" s="5">
        <f t="shared" si="39"/>
        <v>17.359573600000001</v>
      </c>
      <c r="AM40" s="5">
        <f t="shared" si="39"/>
        <v>16.768274000000002</v>
      </c>
      <c r="BC40">
        <v>3102.7</v>
      </c>
    </row>
    <row r="41" spans="1:55" x14ac:dyDescent="0.2">
      <c r="C41">
        <v>40</v>
      </c>
      <c r="D41" s="42">
        <f>8310.2-J82-J86</f>
        <v>4308.298926524064</v>
      </c>
      <c r="E41">
        <v>107.9</v>
      </c>
      <c r="F41" s="42">
        <f>8719.2-K82-K86</f>
        <v>4442.9278346723149</v>
      </c>
      <c r="G41">
        <v>91.2</v>
      </c>
      <c r="H41">
        <v>3673</v>
      </c>
      <c r="I41">
        <v>38</v>
      </c>
      <c r="J41">
        <v>3716.3</v>
      </c>
      <c r="K41">
        <v>33.6</v>
      </c>
      <c r="L41">
        <v>3919.3</v>
      </c>
      <c r="M41">
        <v>38.799999999999997</v>
      </c>
      <c r="N41">
        <v>4265.8999999999996</v>
      </c>
      <c r="O41">
        <v>41</v>
      </c>
      <c r="P41">
        <v>4350.1000000000004</v>
      </c>
      <c r="Q41">
        <v>38.6</v>
      </c>
      <c r="T41">
        <f t="shared" si="17"/>
        <v>4308.298926524064</v>
      </c>
      <c r="U41">
        <f t="shared" si="18"/>
        <v>4442.9278346723149</v>
      </c>
      <c r="V41">
        <f t="shared" si="19"/>
        <v>3673</v>
      </c>
      <c r="W41">
        <f t="shared" si="20"/>
        <v>3716.3</v>
      </c>
      <c r="X41">
        <f t="shared" si="21"/>
        <v>3919.3</v>
      </c>
      <c r="Y41">
        <f t="shared" si="22"/>
        <v>4265.8999999999996</v>
      </c>
      <c r="Z41">
        <f t="shared" si="23"/>
        <v>4350.1000000000004</v>
      </c>
      <c r="AB41">
        <f t="shared" si="5"/>
        <v>40</v>
      </c>
      <c r="AC41">
        <v>14</v>
      </c>
      <c r="AG41" s="5">
        <f>SUM(AG23:AG40)</f>
        <v>2240.7979035999997</v>
      </c>
      <c r="BC41">
        <v>3716.3</v>
      </c>
    </row>
    <row r="42" spans="1:55" x14ac:dyDescent="0.2">
      <c r="B42">
        <f>B43-B44</f>
        <v>-947.69999999999709</v>
      </c>
      <c r="C42">
        <v>41</v>
      </c>
      <c r="D42">
        <v>10748.9</v>
      </c>
      <c r="E42">
        <v>156</v>
      </c>
      <c r="F42">
        <v>11187</v>
      </c>
      <c r="G42">
        <v>120.9</v>
      </c>
      <c r="H42">
        <v>12796.5</v>
      </c>
      <c r="I42">
        <v>119.1</v>
      </c>
      <c r="J42">
        <v>13142.9</v>
      </c>
      <c r="K42">
        <v>115.6</v>
      </c>
      <c r="L42">
        <v>13650</v>
      </c>
      <c r="M42">
        <v>132.80000000000001</v>
      </c>
      <c r="N42">
        <v>14221.1</v>
      </c>
      <c r="O42">
        <v>131.6</v>
      </c>
      <c r="P42">
        <v>14160</v>
      </c>
      <c r="Q42">
        <v>126</v>
      </c>
      <c r="T42">
        <f t="shared" si="17"/>
        <v>10748.9</v>
      </c>
      <c r="U42">
        <f t="shared" si="18"/>
        <v>11187</v>
      </c>
      <c r="V42">
        <f t="shared" si="19"/>
        <v>12796.5</v>
      </c>
      <c r="W42">
        <f t="shared" si="20"/>
        <v>13142.9</v>
      </c>
      <c r="X42">
        <f t="shared" si="21"/>
        <v>13650</v>
      </c>
      <c r="Y42">
        <f t="shared" si="22"/>
        <v>14221.1</v>
      </c>
      <c r="Z42">
        <f t="shared" si="23"/>
        <v>14160</v>
      </c>
      <c r="AB42">
        <f t="shared" si="5"/>
        <v>41</v>
      </c>
      <c r="AC42">
        <v>14</v>
      </c>
      <c r="BC42">
        <v>13142.9</v>
      </c>
    </row>
    <row r="43" spans="1:55" x14ac:dyDescent="0.2">
      <c r="B43">
        <f>19980.2+8713.1+2008.7+488.1+128.4+2814.8+403.2</f>
        <v>34536.5</v>
      </c>
      <c r="C43">
        <v>42</v>
      </c>
      <c r="D43">
        <v>2838.3</v>
      </c>
      <c r="E43">
        <v>55.4</v>
      </c>
      <c r="F43">
        <v>2976.8</v>
      </c>
      <c r="G43">
        <v>48.6</v>
      </c>
      <c r="H43">
        <v>3978</v>
      </c>
      <c r="I43">
        <v>50.1</v>
      </c>
      <c r="J43">
        <v>4275</v>
      </c>
      <c r="K43">
        <v>49.5</v>
      </c>
      <c r="L43">
        <v>4361.2</v>
      </c>
      <c r="M43">
        <v>49.1</v>
      </c>
      <c r="N43">
        <v>4016.9</v>
      </c>
      <c r="O43">
        <v>46.5</v>
      </c>
      <c r="P43">
        <v>3913.5</v>
      </c>
      <c r="Q43">
        <v>46.1</v>
      </c>
      <c r="T43">
        <f t="shared" si="17"/>
        <v>2838.3</v>
      </c>
      <c r="U43">
        <f t="shared" si="18"/>
        <v>2976.8</v>
      </c>
      <c r="V43">
        <f t="shared" si="19"/>
        <v>3978</v>
      </c>
      <c r="W43">
        <f t="shared" si="20"/>
        <v>4275</v>
      </c>
      <c r="X43">
        <f t="shared" si="21"/>
        <v>4361.2</v>
      </c>
      <c r="Y43">
        <f t="shared" si="22"/>
        <v>4016.9</v>
      </c>
      <c r="Z43">
        <f t="shared" si="23"/>
        <v>3913.5</v>
      </c>
      <c r="AB43">
        <f t="shared" si="5"/>
        <v>42</v>
      </c>
      <c r="AC43">
        <v>15</v>
      </c>
      <c r="BC43">
        <v>4275</v>
      </c>
    </row>
    <row r="44" spans="1:55" x14ac:dyDescent="0.2">
      <c r="B44">
        <f>D43+D44+B46+B47</f>
        <v>35484.199999999997</v>
      </c>
      <c r="C44">
        <v>43</v>
      </c>
      <c r="D44">
        <v>19980.2</v>
      </c>
      <c r="E44">
        <v>603.9</v>
      </c>
      <c r="F44">
        <v>20517.099999999999</v>
      </c>
      <c r="G44">
        <v>524.9</v>
      </c>
      <c r="H44">
        <v>21893.599999999999</v>
      </c>
      <c r="I44">
        <v>481.8</v>
      </c>
      <c r="J44">
        <v>22885</v>
      </c>
      <c r="K44">
        <v>497.7</v>
      </c>
      <c r="L44">
        <v>22163.8</v>
      </c>
      <c r="M44">
        <v>491.6</v>
      </c>
      <c r="N44">
        <v>22615.200000000001</v>
      </c>
      <c r="O44">
        <v>455.1</v>
      </c>
      <c r="P44">
        <v>21561.7</v>
      </c>
      <c r="Q44">
        <v>436.6</v>
      </c>
      <c r="T44">
        <f t="shared" si="17"/>
        <v>19980.2</v>
      </c>
      <c r="U44">
        <f t="shared" si="18"/>
        <v>20517.099999999999</v>
      </c>
      <c r="V44">
        <f t="shared" si="19"/>
        <v>21893.599999999999</v>
      </c>
      <c r="W44">
        <f t="shared" si="20"/>
        <v>22885</v>
      </c>
      <c r="X44">
        <f t="shared" si="21"/>
        <v>22163.8</v>
      </c>
      <c r="Y44">
        <f t="shared" si="22"/>
        <v>22615.200000000001</v>
      </c>
      <c r="Z44">
        <f t="shared" si="23"/>
        <v>21561.7</v>
      </c>
      <c r="AB44">
        <f t="shared" si="5"/>
        <v>43</v>
      </c>
      <c r="AC44">
        <v>16</v>
      </c>
      <c r="BC44">
        <v>22885</v>
      </c>
    </row>
    <row r="45" spans="1:55" x14ac:dyDescent="0.2">
      <c r="B45">
        <f>10130.4+608.9+235.4</f>
        <v>10974.699999999999</v>
      </c>
      <c r="C45">
        <v>44</v>
      </c>
      <c r="D45">
        <v>1890.5</v>
      </c>
      <c r="E45">
        <v>20.2</v>
      </c>
      <c r="F45">
        <v>2200.1</v>
      </c>
      <c r="G45">
        <v>17.8</v>
      </c>
      <c r="H45" s="37">
        <v>2478.1999999999998</v>
      </c>
      <c r="I45">
        <v>18.25</v>
      </c>
      <c r="J45">
        <v>2365.6</v>
      </c>
      <c r="K45">
        <v>18.7</v>
      </c>
      <c r="L45">
        <v>2564.1</v>
      </c>
      <c r="M45">
        <v>19.399999999999999</v>
      </c>
      <c r="N45">
        <v>2537.6999999999998</v>
      </c>
      <c r="O45">
        <v>19.600000000000001</v>
      </c>
      <c r="P45">
        <v>2366.1999999999998</v>
      </c>
      <c r="Q45">
        <v>22.1</v>
      </c>
      <c r="T45">
        <f t="shared" si="17"/>
        <v>1890.5</v>
      </c>
      <c r="U45">
        <f t="shared" si="18"/>
        <v>2200.1</v>
      </c>
      <c r="V45">
        <f t="shared" si="19"/>
        <v>2478.1999999999998</v>
      </c>
      <c r="W45">
        <f t="shared" si="20"/>
        <v>2365.6</v>
      </c>
      <c r="X45">
        <f t="shared" si="21"/>
        <v>2564.1</v>
      </c>
      <c r="Y45">
        <f t="shared" si="22"/>
        <v>2537.6999999999998</v>
      </c>
      <c r="Z45">
        <f t="shared" si="23"/>
        <v>2366.1999999999998</v>
      </c>
      <c r="AB45">
        <f t="shared" si="5"/>
        <v>44</v>
      </c>
      <c r="AC45">
        <v>16</v>
      </c>
      <c r="BC45">
        <v>2365.6</v>
      </c>
    </row>
    <row r="46" spans="1:55" x14ac:dyDescent="0.2">
      <c r="B46">
        <f>8713+518.5+405.8</f>
        <v>9637.2999999999993</v>
      </c>
      <c r="C46">
        <v>45</v>
      </c>
      <c r="D46">
        <f>8713+518.5+405.8</f>
        <v>9637.2999999999993</v>
      </c>
      <c r="E46">
        <v>170</v>
      </c>
      <c r="F46">
        <f>9325+560.8+275.3</f>
        <v>10161.099999999999</v>
      </c>
      <c r="G46">
        <v>141.5</v>
      </c>
      <c r="H46" s="37">
        <f>B45</f>
        <v>10974.699999999999</v>
      </c>
      <c r="I46">
        <v>136.30000000000001</v>
      </c>
      <c r="J46">
        <v>10522.3</v>
      </c>
      <c r="K46">
        <v>138</v>
      </c>
      <c r="L46">
        <v>10578.6</v>
      </c>
      <c r="M46">
        <v>140.4</v>
      </c>
      <c r="N46">
        <v>11184.4</v>
      </c>
      <c r="O46">
        <v>140.4</v>
      </c>
      <c r="P46">
        <v>10694.3</v>
      </c>
      <c r="Q46">
        <v>134.80000000000001</v>
      </c>
      <c r="T46">
        <f t="shared" si="17"/>
        <v>9637.2999999999993</v>
      </c>
      <c r="U46">
        <f t="shared" si="18"/>
        <v>10161.099999999999</v>
      </c>
      <c r="V46">
        <f t="shared" si="19"/>
        <v>10974.699999999999</v>
      </c>
      <c r="W46">
        <f t="shared" si="20"/>
        <v>10522.3</v>
      </c>
      <c r="X46">
        <f t="shared" si="21"/>
        <v>10578.6</v>
      </c>
      <c r="Y46">
        <f t="shared" si="22"/>
        <v>11184.4</v>
      </c>
      <c r="Z46">
        <f t="shared" si="23"/>
        <v>10694.3</v>
      </c>
      <c r="AB46">
        <f t="shared" si="5"/>
        <v>45</v>
      </c>
      <c r="AC46">
        <v>16</v>
      </c>
      <c r="BC46">
        <v>10522.3</v>
      </c>
    </row>
    <row r="47" spans="1:55" x14ac:dyDescent="0.2">
      <c r="B47">
        <f>2008.7+488.1+128.4+403.2</f>
        <v>3028.4</v>
      </c>
      <c r="C47">
        <v>46</v>
      </c>
      <c r="D47">
        <f>2008.7+488.1+128.4+403.2</f>
        <v>3028.4</v>
      </c>
      <c r="E47">
        <v>126.1</v>
      </c>
      <c r="F47">
        <f>2024.8+439.9+126.1+362.1</f>
        <v>2952.8999999999996</v>
      </c>
      <c r="G47">
        <v>105.5</v>
      </c>
      <c r="H47" s="37">
        <f>B51</f>
        <v>2944.7</v>
      </c>
      <c r="I47">
        <v>95.1</v>
      </c>
      <c r="J47">
        <v>6416.4</v>
      </c>
      <c r="K47">
        <v>108.3</v>
      </c>
      <c r="L47">
        <v>6579.9</v>
      </c>
      <c r="M47">
        <v>103</v>
      </c>
      <c r="N47">
        <v>6428.5</v>
      </c>
      <c r="O47">
        <v>104.5</v>
      </c>
      <c r="P47">
        <v>6263.3</v>
      </c>
      <c r="Q47">
        <v>97.4</v>
      </c>
      <c r="T47">
        <f t="shared" si="17"/>
        <v>3028.4</v>
      </c>
      <c r="U47">
        <f t="shared" si="18"/>
        <v>2952.8999999999996</v>
      </c>
      <c r="V47">
        <f t="shared" si="19"/>
        <v>2944.7</v>
      </c>
      <c r="W47">
        <f t="shared" si="20"/>
        <v>6416.4</v>
      </c>
      <c r="X47">
        <f t="shared" si="21"/>
        <v>6579.9</v>
      </c>
      <c r="Y47">
        <f t="shared" si="22"/>
        <v>6428.5</v>
      </c>
      <c r="Z47">
        <f t="shared" si="23"/>
        <v>6263.3</v>
      </c>
      <c r="AB47">
        <f t="shared" si="5"/>
        <v>46</v>
      </c>
      <c r="AC47">
        <v>16</v>
      </c>
      <c r="BC47">
        <v>6416.4</v>
      </c>
    </row>
    <row r="48" spans="1:55" x14ac:dyDescent="0.2">
      <c r="C48">
        <v>47</v>
      </c>
      <c r="D48" s="42">
        <f>4814.7+J82+J86</f>
        <v>8816.6010734759384</v>
      </c>
      <c r="E48">
        <v>88.4</v>
      </c>
      <c r="F48" s="42">
        <f>5131.6+K82+K86</f>
        <v>9407.8721653276862</v>
      </c>
      <c r="G48">
        <v>76.900000000000006</v>
      </c>
      <c r="H48">
        <v>10835.3</v>
      </c>
      <c r="I48">
        <v>105.3</v>
      </c>
      <c r="J48">
        <v>11392.8</v>
      </c>
      <c r="K48">
        <v>103.5</v>
      </c>
      <c r="L48">
        <v>11404</v>
      </c>
      <c r="M48">
        <v>113.6</v>
      </c>
      <c r="N48">
        <v>11973.5</v>
      </c>
      <c r="O48">
        <v>119.9</v>
      </c>
      <c r="P48">
        <v>11601.7</v>
      </c>
      <c r="Q48">
        <v>109.5</v>
      </c>
      <c r="T48">
        <f t="shared" si="17"/>
        <v>8816.6010734759384</v>
      </c>
      <c r="U48">
        <f t="shared" si="18"/>
        <v>9407.8721653276862</v>
      </c>
      <c r="V48">
        <f t="shared" si="19"/>
        <v>10835.3</v>
      </c>
      <c r="W48">
        <f t="shared" si="20"/>
        <v>11392.8</v>
      </c>
      <c r="X48">
        <f t="shared" si="21"/>
        <v>11404</v>
      </c>
      <c r="Y48">
        <f t="shared" si="22"/>
        <v>11973.5</v>
      </c>
      <c r="Z48">
        <f t="shared" si="23"/>
        <v>11601.7</v>
      </c>
      <c r="AB48">
        <f t="shared" si="5"/>
        <v>47</v>
      </c>
      <c r="AC48">
        <v>14</v>
      </c>
      <c r="BC48">
        <v>11392.8</v>
      </c>
    </row>
    <row r="49" spans="2:55" x14ac:dyDescent="0.2">
      <c r="B49">
        <f>SUM(D44:D47)</f>
        <v>34536.400000000001</v>
      </c>
      <c r="C49">
        <v>48</v>
      </c>
      <c r="D49">
        <v>2515.1999999999998</v>
      </c>
      <c r="E49">
        <v>120.5</v>
      </c>
      <c r="F49">
        <v>2500.1</v>
      </c>
      <c r="G49">
        <v>101.8</v>
      </c>
      <c r="H49">
        <v>2290.6999999999998</v>
      </c>
      <c r="I49">
        <v>108.4</v>
      </c>
      <c r="J49">
        <v>2387</v>
      </c>
      <c r="K49">
        <v>108.9</v>
      </c>
      <c r="L49">
        <v>2539.6999999999998</v>
      </c>
      <c r="M49">
        <v>93.7</v>
      </c>
      <c r="N49">
        <v>2514.4</v>
      </c>
      <c r="O49">
        <v>103</v>
      </c>
      <c r="P49">
        <v>2423</v>
      </c>
      <c r="Q49">
        <v>93.6</v>
      </c>
      <c r="T49">
        <f t="shared" si="17"/>
        <v>2515.1999999999998</v>
      </c>
      <c r="U49">
        <f t="shared" si="18"/>
        <v>2500.1</v>
      </c>
      <c r="V49">
        <f t="shared" si="19"/>
        <v>2290.6999999999998</v>
      </c>
      <c r="W49">
        <f t="shared" si="20"/>
        <v>2387</v>
      </c>
      <c r="X49">
        <f t="shared" si="21"/>
        <v>2539.6999999999998</v>
      </c>
      <c r="Y49">
        <f t="shared" si="22"/>
        <v>2514.4</v>
      </c>
      <c r="Z49">
        <f t="shared" si="23"/>
        <v>2423</v>
      </c>
      <c r="AB49">
        <f t="shared" si="5"/>
        <v>48</v>
      </c>
      <c r="AC49">
        <v>13</v>
      </c>
      <c r="BC49">
        <v>2387</v>
      </c>
    </row>
    <row r="50" spans="2:55" x14ac:dyDescent="0.2">
      <c r="B50">
        <f>D44+D45+B46+B47</f>
        <v>34536.400000000001</v>
      </c>
      <c r="C50">
        <v>49</v>
      </c>
      <c r="D50">
        <v>3485.8</v>
      </c>
      <c r="E50">
        <v>115.2</v>
      </c>
      <c r="F50">
        <v>3554.5</v>
      </c>
      <c r="G50">
        <v>104.9</v>
      </c>
      <c r="H50">
        <v>4636.8999999999996</v>
      </c>
      <c r="I50">
        <v>111.1</v>
      </c>
      <c r="J50">
        <v>4792.2</v>
      </c>
      <c r="K50">
        <v>115.9</v>
      </c>
      <c r="L50">
        <v>4966.3</v>
      </c>
      <c r="M50">
        <v>123.3</v>
      </c>
      <c r="N50">
        <v>5087.8</v>
      </c>
      <c r="O50">
        <v>123.7</v>
      </c>
      <c r="P50">
        <v>4914.5</v>
      </c>
      <c r="Q50">
        <v>118.3</v>
      </c>
      <c r="T50">
        <f t="shared" si="17"/>
        <v>3485.8</v>
      </c>
      <c r="U50">
        <f t="shared" si="18"/>
        <v>3554.5</v>
      </c>
      <c r="V50">
        <f t="shared" si="19"/>
        <v>4636.8999999999996</v>
      </c>
      <c r="W50">
        <f t="shared" si="20"/>
        <v>4792.2</v>
      </c>
      <c r="X50">
        <f t="shared" si="21"/>
        <v>4966.3</v>
      </c>
      <c r="Y50">
        <f t="shared" si="22"/>
        <v>5087.8</v>
      </c>
      <c r="Z50">
        <f t="shared" si="23"/>
        <v>4914.5</v>
      </c>
      <c r="AB50">
        <f t="shared" si="5"/>
        <v>49</v>
      </c>
      <c r="AC50">
        <v>18</v>
      </c>
      <c r="BC50">
        <v>4792.2</v>
      </c>
    </row>
    <row r="51" spans="2:55" x14ac:dyDescent="0.2">
      <c r="B51">
        <f>2061.7+344+99.8+439.2</f>
        <v>2944.7</v>
      </c>
      <c r="C51">
        <v>50</v>
      </c>
      <c r="D51">
        <v>45293.9</v>
      </c>
      <c r="E51">
        <v>2738.3</v>
      </c>
      <c r="F51">
        <v>46172.1</v>
      </c>
      <c r="G51">
        <v>2354.6999999999998</v>
      </c>
      <c r="H51">
        <v>50001.2</v>
      </c>
      <c r="I51">
        <v>2087</v>
      </c>
      <c r="J51">
        <v>51344.7</v>
      </c>
      <c r="K51">
        <v>2091.5</v>
      </c>
      <c r="L51">
        <v>51780.800000000003</v>
      </c>
      <c r="M51">
        <v>2199.6</v>
      </c>
      <c r="N51">
        <v>52190.8</v>
      </c>
      <c r="O51">
        <v>2205.6999999999998</v>
      </c>
      <c r="P51">
        <v>53684.2</v>
      </c>
      <c r="Q51">
        <v>2172.9</v>
      </c>
      <c r="T51">
        <f t="shared" si="17"/>
        <v>45293.9</v>
      </c>
      <c r="U51">
        <f t="shared" si="18"/>
        <v>46172.1</v>
      </c>
      <c r="V51">
        <f t="shared" si="19"/>
        <v>50001.2</v>
      </c>
      <c r="W51">
        <f t="shared" si="20"/>
        <v>51344.7</v>
      </c>
      <c r="X51">
        <f t="shared" si="21"/>
        <v>51780.800000000003</v>
      </c>
      <c r="Y51">
        <f t="shared" si="22"/>
        <v>52190.8</v>
      </c>
      <c r="Z51">
        <f t="shared" si="23"/>
        <v>53684.2</v>
      </c>
      <c r="AB51">
        <f t="shared" si="5"/>
        <v>50</v>
      </c>
      <c r="AC51">
        <v>1</v>
      </c>
      <c r="BC51">
        <v>51344.7</v>
      </c>
    </row>
    <row r="52" spans="2:55" x14ac:dyDescent="0.2">
      <c r="B52">
        <f>3565.4+4763+2668.2+138.6</f>
        <v>11135.199999999999</v>
      </c>
      <c r="C52">
        <v>51</v>
      </c>
      <c r="D52">
        <v>1486.3</v>
      </c>
      <c r="E52">
        <v>59.9</v>
      </c>
      <c r="F52">
        <v>1409</v>
      </c>
      <c r="G52">
        <v>58.9</v>
      </c>
      <c r="H52">
        <v>1526.8</v>
      </c>
      <c r="I52">
        <v>56.1</v>
      </c>
      <c r="J52">
        <v>1556.4</v>
      </c>
      <c r="K52">
        <v>76.8</v>
      </c>
      <c r="L52">
        <v>1537.5</v>
      </c>
      <c r="M52">
        <v>50.2</v>
      </c>
      <c r="N52">
        <v>1535.9</v>
      </c>
      <c r="O52">
        <v>49.3</v>
      </c>
      <c r="P52">
        <v>1564.3</v>
      </c>
      <c r="Q52">
        <v>47.6</v>
      </c>
      <c r="T52">
        <f t="shared" si="17"/>
        <v>1486.3</v>
      </c>
      <c r="U52">
        <f t="shared" si="18"/>
        <v>1409</v>
      </c>
      <c r="V52">
        <f t="shared" si="19"/>
        <v>1526.8</v>
      </c>
      <c r="W52">
        <f t="shared" si="20"/>
        <v>1556.4</v>
      </c>
      <c r="X52">
        <f t="shared" si="21"/>
        <v>1537.5</v>
      </c>
      <c r="Y52">
        <f t="shared" si="22"/>
        <v>1535.9</v>
      </c>
      <c r="Z52">
        <f t="shared" si="23"/>
        <v>1564.3</v>
      </c>
      <c r="AB52">
        <f t="shared" si="5"/>
        <v>51</v>
      </c>
      <c r="AC52">
        <v>1</v>
      </c>
      <c r="BC52">
        <v>1556.4</v>
      </c>
    </row>
    <row r="53" spans="2:55" x14ac:dyDescent="0.2">
      <c r="B53">
        <v>1990.7</v>
      </c>
      <c r="C53">
        <v>52</v>
      </c>
      <c r="D53">
        <v>19315.400000000001</v>
      </c>
      <c r="E53">
        <v>396.9</v>
      </c>
      <c r="F53">
        <v>19916.8</v>
      </c>
      <c r="G53">
        <v>338.4</v>
      </c>
      <c r="H53">
        <v>21868</v>
      </c>
      <c r="I53">
        <v>320.39999999999998</v>
      </c>
      <c r="J53">
        <v>21882.7</v>
      </c>
      <c r="K53">
        <v>66.2</v>
      </c>
      <c r="L53">
        <v>21799.599999999999</v>
      </c>
      <c r="M53">
        <v>293.3</v>
      </c>
      <c r="N53">
        <v>21111.9</v>
      </c>
      <c r="O53">
        <v>395.8</v>
      </c>
      <c r="P53">
        <v>21408.2</v>
      </c>
      <c r="Q53">
        <v>273.2</v>
      </c>
      <c r="T53">
        <f t="shared" si="17"/>
        <v>19315.400000000001</v>
      </c>
      <c r="U53">
        <f t="shared" si="18"/>
        <v>19916.8</v>
      </c>
      <c r="V53">
        <f t="shared" si="19"/>
        <v>21868</v>
      </c>
      <c r="W53">
        <f t="shared" si="20"/>
        <v>21882.7</v>
      </c>
      <c r="X53">
        <f t="shared" si="21"/>
        <v>21799.599999999999</v>
      </c>
      <c r="Y53">
        <f t="shared" si="22"/>
        <v>21111.9</v>
      </c>
      <c r="Z53">
        <f t="shared" si="23"/>
        <v>21408.2</v>
      </c>
      <c r="AB53">
        <f t="shared" si="5"/>
        <v>52</v>
      </c>
      <c r="AC53">
        <v>2</v>
      </c>
      <c r="BC53">
        <v>21882.7</v>
      </c>
    </row>
    <row r="54" spans="2:55" x14ac:dyDescent="0.2">
      <c r="B54">
        <f>SUM(B52:B53)</f>
        <v>13125.9</v>
      </c>
      <c r="C54">
        <v>53</v>
      </c>
      <c r="D54">
        <v>3175.1</v>
      </c>
      <c r="E54">
        <v>167.5</v>
      </c>
      <c r="F54">
        <v>3411.4</v>
      </c>
      <c r="G54">
        <v>149.6</v>
      </c>
      <c r="H54">
        <v>4320.1000000000004</v>
      </c>
      <c r="I54">
        <v>155</v>
      </c>
      <c r="J54">
        <v>4532.6000000000004</v>
      </c>
      <c r="K54">
        <v>142.80000000000001</v>
      </c>
      <c r="L54">
        <v>4873.2</v>
      </c>
      <c r="M54">
        <v>154.1</v>
      </c>
      <c r="N54">
        <v>4575</v>
      </c>
      <c r="O54">
        <v>147.6</v>
      </c>
      <c r="P54">
        <v>4488.3</v>
      </c>
      <c r="Q54">
        <v>131.5</v>
      </c>
      <c r="T54">
        <f t="shared" si="17"/>
        <v>3175.1</v>
      </c>
      <c r="U54">
        <f t="shared" si="18"/>
        <v>3411.4</v>
      </c>
      <c r="V54">
        <f t="shared" si="19"/>
        <v>4320.1000000000004</v>
      </c>
      <c r="W54">
        <f t="shared" si="20"/>
        <v>4532.6000000000004</v>
      </c>
      <c r="X54">
        <f t="shared" si="21"/>
        <v>4873.2</v>
      </c>
      <c r="Y54">
        <f t="shared" si="22"/>
        <v>4575</v>
      </c>
      <c r="Z54">
        <f t="shared" si="23"/>
        <v>4488.3</v>
      </c>
      <c r="AB54">
        <f t="shared" si="5"/>
        <v>53</v>
      </c>
      <c r="AC54">
        <v>2</v>
      </c>
      <c r="BC54">
        <v>4532.6000000000004</v>
      </c>
    </row>
    <row r="55" spans="2:55" x14ac:dyDescent="0.2">
      <c r="B55">
        <f>H48+H49</f>
        <v>13126</v>
      </c>
      <c r="C55">
        <v>54</v>
      </c>
      <c r="D55">
        <v>3034.6</v>
      </c>
      <c r="E55">
        <v>146.19999999999999</v>
      </c>
      <c r="F55">
        <v>3052.2</v>
      </c>
      <c r="G55">
        <v>124</v>
      </c>
      <c r="H55">
        <v>3436.4</v>
      </c>
      <c r="I55">
        <v>131.80000000000001</v>
      </c>
      <c r="J55">
        <v>3392.8</v>
      </c>
      <c r="K55">
        <v>133.4</v>
      </c>
      <c r="L55">
        <v>3641</v>
      </c>
      <c r="M55">
        <v>138.19999999999999</v>
      </c>
      <c r="N55">
        <v>3566.2</v>
      </c>
      <c r="O55">
        <v>13.3</v>
      </c>
      <c r="P55">
        <v>3712.4</v>
      </c>
      <c r="Q55">
        <v>140.4</v>
      </c>
      <c r="T55">
        <f t="shared" si="17"/>
        <v>3034.6</v>
      </c>
      <c r="U55">
        <f t="shared" si="18"/>
        <v>3052.2</v>
      </c>
      <c r="V55">
        <f t="shared" si="19"/>
        <v>3436.4</v>
      </c>
      <c r="W55">
        <f t="shared" si="20"/>
        <v>3392.8</v>
      </c>
      <c r="X55">
        <f t="shared" si="21"/>
        <v>3641</v>
      </c>
      <c r="Y55">
        <f t="shared" si="22"/>
        <v>3566.2</v>
      </c>
      <c r="Z55">
        <f t="shared" si="23"/>
        <v>3712.4</v>
      </c>
      <c r="AB55">
        <f t="shared" si="5"/>
        <v>54</v>
      </c>
      <c r="AC55">
        <v>2</v>
      </c>
      <c r="BC55">
        <v>3392.8</v>
      </c>
    </row>
    <row r="56" spans="2:55" x14ac:dyDescent="0.2">
      <c r="C56">
        <v>55</v>
      </c>
      <c r="D56">
        <v>4771.5</v>
      </c>
      <c r="E56">
        <v>92.9</v>
      </c>
      <c r="F56">
        <v>4892.7</v>
      </c>
      <c r="G56">
        <v>90.8</v>
      </c>
      <c r="H56">
        <v>4910.8</v>
      </c>
      <c r="I56">
        <v>92.1</v>
      </c>
      <c r="J56">
        <v>5069.2</v>
      </c>
      <c r="K56">
        <v>98.6</v>
      </c>
      <c r="L56">
        <v>4170.3999999999996</v>
      </c>
      <c r="M56">
        <v>80.599999999999994</v>
      </c>
      <c r="N56">
        <v>4045.8</v>
      </c>
      <c r="O56">
        <v>73</v>
      </c>
      <c r="P56">
        <v>3916.9</v>
      </c>
      <c r="Q56">
        <v>79.599999999999994</v>
      </c>
      <c r="T56">
        <f t="shared" si="17"/>
        <v>4771.5</v>
      </c>
      <c r="U56">
        <f t="shared" si="18"/>
        <v>4892.7</v>
      </c>
      <c r="V56">
        <f t="shared" si="19"/>
        <v>4910.8</v>
      </c>
      <c r="W56">
        <f t="shared" si="20"/>
        <v>5069.2</v>
      </c>
      <c r="X56">
        <f t="shared" si="21"/>
        <v>4170.3999999999996</v>
      </c>
      <c r="Y56">
        <f t="shared" si="22"/>
        <v>4045.8</v>
      </c>
      <c r="Z56">
        <f t="shared" si="23"/>
        <v>3916.9</v>
      </c>
      <c r="AB56">
        <f t="shared" si="5"/>
        <v>55</v>
      </c>
      <c r="AC56">
        <v>3</v>
      </c>
      <c r="BC56">
        <v>5069.2</v>
      </c>
    </row>
    <row r="57" spans="2:55" x14ac:dyDescent="0.2">
      <c r="B57">
        <f>D56+D57</f>
        <v>6131.5</v>
      </c>
      <c r="C57">
        <v>56</v>
      </c>
      <c r="D57">
        <v>1360</v>
      </c>
      <c r="E57">
        <v>43.6</v>
      </c>
      <c r="F57">
        <v>1412.4</v>
      </c>
      <c r="G57">
        <v>43.5</v>
      </c>
      <c r="H57">
        <v>1684.4</v>
      </c>
      <c r="I57">
        <v>42.7</v>
      </c>
      <c r="J57">
        <v>1651.8</v>
      </c>
      <c r="K57">
        <v>39.1</v>
      </c>
      <c r="L57">
        <v>1704.8</v>
      </c>
      <c r="M57">
        <v>42.3</v>
      </c>
      <c r="N57">
        <v>1794.6</v>
      </c>
      <c r="O57">
        <v>43.3</v>
      </c>
      <c r="P57">
        <v>1782.1</v>
      </c>
      <c r="Q57">
        <v>43.4</v>
      </c>
      <c r="T57">
        <f t="shared" si="17"/>
        <v>1360</v>
      </c>
      <c r="U57">
        <f t="shared" si="18"/>
        <v>1412.4</v>
      </c>
      <c r="V57">
        <f t="shared" si="19"/>
        <v>1684.4</v>
      </c>
      <c r="W57">
        <f t="shared" si="20"/>
        <v>1651.8</v>
      </c>
      <c r="X57">
        <f t="shared" si="21"/>
        <v>1704.8</v>
      </c>
      <c r="Y57">
        <f t="shared" si="22"/>
        <v>1794.6</v>
      </c>
      <c r="Z57">
        <f t="shared" si="23"/>
        <v>1782.1</v>
      </c>
      <c r="AB57">
        <f t="shared" si="5"/>
        <v>56</v>
      </c>
      <c r="AC57">
        <v>2</v>
      </c>
      <c r="BC57">
        <v>1651.8</v>
      </c>
    </row>
    <row r="58" spans="2:55" x14ac:dyDescent="0.2">
      <c r="B58">
        <f>3058.6+28520.1+10138.1</f>
        <v>41716.799999999996</v>
      </c>
      <c r="C58">
        <v>57</v>
      </c>
      <c r="D58" s="37">
        <f>41716.8+598.3</f>
        <v>42315.100000000006</v>
      </c>
      <c r="E58">
        <v>2985.8</v>
      </c>
      <c r="F58" s="37">
        <f>B59</f>
        <v>47148.7</v>
      </c>
      <c r="G58">
        <v>2364.9</v>
      </c>
      <c r="H58">
        <v>47148.7</v>
      </c>
      <c r="I58">
        <v>2271.1</v>
      </c>
      <c r="J58">
        <v>47318.8</v>
      </c>
      <c r="K58">
        <v>2254.6999999999998</v>
      </c>
      <c r="L58">
        <v>48408.5</v>
      </c>
      <c r="M58">
        <v>2359.5</v>
      </c>
      <c r="N58">
        <v>51980.5</v>
      </c>
      <c r="O58">
        <v>2532.1999999999998</v>
      </c>
      <c r="P58">
        <v>52929.4</v>
      </c>
      <c r="Q58">
        <v>2396.1999999999998</v>
      </c>
      <c r="T58">
        <f t="shared" si="17"/>
        <v>42315.100000000006</v>
      </c>
      <c r="U58">
        <f t="shared" si="18"/>
        <v>47148.7</v>
      </c>
      <c r="V58">
        <f t="shared" si="19"/>
        <v>47148.7</v>
      </c>
      <c r="W58">
        <f t="shared" si="20"/>
        <v>47318.8</v>
      </c>
      <c r="X58">
        <f t="shared" si="21"/>
        <v>48408.5</v>
      </c>
      <c r="Y58">
        <f t="shared" si="22"/>
        <v>51980.5</v>
      </c>
      <c r="Z58">
        <f t="shared" si="23"/>
        <v>52929.4</v>
      </c>
      <c r="AB58">
        <f t="shared" si="5"/>
        <v>57</v>
      </c>
      <c r="AC58">
        <v>5</v>
      </c>
      <c r="BC58">
        <v>47318.8</v>
      </c>
    </row>
    <row r="59" spans="2:55" x14ac:dyDescent="0.2">
      <c r="B59">
        <f>2606.3+31943.6+12598.8</f>
        <v>47148.7</v>
      </c>
      <c r="C59">
        <v>58</v>
      </c>
      <c r="D59">
        <v>6344.4</v>
      </c>
      <c r="E59">
        <v>169.9</v>
      </c>
      <c r="F59">
        <v>6871.9</v>
      </c>
      <c r="G59">
        <v>150.80000000000001</v>
      </c>
      <c r="H59">
        <v>7567.6</v>
      </c>
      <c r="I59">
        <v>145.69999999999999</v>
      </c>
      <c r="J59">
        <v>8096.2</v>
      </c>
      <c r="K59">
        <v>144.5</v>
      </c>
      <c r="L59">
        <v>8383.7999999999993</v>
      </c>
      <c r="M59">
        <v>158.80000000000001</v>
      </c>
      <c r="N59">
        <v>8552.6</v>
      </c>
      <c r="O59">
        <v>163.1</v>
      </c>
      <c r="P59">
        <v>8896.4</v>
      </c>
      <c r="Q59">
        <v>158.4</v>
      </c>
      <c r="T59">
        <f t="shared" si="17"/>
        <v>6344.4</v>
      </c>
      <c r="U59">
        <f t="shared" si="18"/>
        <v>6871.9</v>
      </c>
      <c r="V59">
        <f t="shared" si="19"/>
        <v>7567.6</v>
      </c>
      <c r="W59">
        <f t="shared" si="20"/>
        <v>8096.2</v>
      </c>
      <c r="X59">
        <f t="shared" si="21"/>
        <v>8383.7999999999993</v>
      </c>
      <c r="Y59">
        <f t="shared" si="22"/>
        <v>8552.6</v>
      </c>
      <c r="Z59">
        <f t="shared" si="23"/>
        <v>8896.4</v>
      </c>
      <c r="AB59">
        <f t="shared" si="5"/>
        <v>58</v>
      </c>
      <c r="AC59">
        <v>5</v>
      </c>
      <c r="BC59">
        <v>8096.2</v>
      </c>
    </row>
    <row r="60" spans="2:55" x14ac:dyDescent="0.2">
      <c r="C60">
        <v>59</v>
      </c>
      <c r="D60" s="40">
        <v>3789.7</v>
      </c>
      <c r="E60">
        <v>182.9</v>
      </c>
      <c r="F60">
        <v>4270.8</v>
      </c>
      <c r="G60">
        <v>173.5</v>
      </c>
      <c r="H60">
        <v>4531.3999999999996</v>
      </c>
      <c r="I60">
        <v>157.80000000000001</v>
      </c>
      <c r="J60">
        <v>4773.1000000000004</v>
      </c>
      <c r="K60">
        <v>159.69999999999999</v>
      </c>
      <c r="L60">
        <v>5239.7</v>
      </c>
      <c r="M60">
        <v>165.1</v>
      </c>
      <c r="N60">
        <v>5248.6</v>
      </c>
      <c r="O60">
        <v>167.7</v>
      </c>
      <c r="P60">
        <v>5073.6000000000004</v>
      </c>
      <c r="Q60">
        <v>150.5</v>
      </c>
      <c r="T60">
        <f t="shared" si="17"/>
        <v>3789.7</v>
      </c>
      <c r="U60">
        <f t="shared" si="18"/>
        <v>4270.8</v>
      </c>
      <c r="V60">
        <f t="shared" si="19"/>
        <v>4531.3999999999996</v>
      </c>
      <c r="W60">
        <f t="shared" si="20"/>
        <v>4773.1000000000004</v>
      </c>
      <c r="X60">
        <f t="shared" si="21"/>
        <v>5239.7</v>
      </c>
      <c r="Y60">
        <f t="shared" si="22"/>
        <v>5248.6</v>
      </c>
      <c r="Z60">
        <f t="shared" si="23"/>
        <v>5073.6000000000004</v>
      </c>
      <c r="AB60">
        <f t="shared" si="5"/>
        <v>59</v>
      </c>
      <c r="AC60">
        <v>5</v>
      </c>
      <c r="BC60">
        <v>4773.1000000000004</v>
      </c>
    </row>
    <row r="61" spans="2:55" x14ac:dyDescent="0.2">
      <c r="B61">
        <f>SUM(D58:D60)</f>
        <v>52449.200000000004</v>
      </c>
      <c r="C61">
        <v>60</v>
      </c>
      <c r="D61">
        <v>12382.5</v>
      </c>
      <c r="E61">
        <v>288</v>
      </c>
      <c r="F61">
        <v>13202.3</v>
      </c>
      <c r="G61">
        <v>269.7</v>
      </c>
      <c r="H61">
        <v>15008.05</v>
      </c>
      <c r="I61">
        <v>282.5</v>
      </c>
      <c r="J61">
        <v>16813.8</v>
      </c>
      <c r="K61">
        <v>295.3</v>
      </c>
      <c r="L61">
        <v>16663.599999999999</v>
      </c>
      <c r="M61">
        <v>317.10000000000002</v>
      </c>
      <c r="N61">
        <v>17356.599999999999</v>
      </c>
      <c r="O61">
        <v>321.10000000000002</v>
      </c>
      <c r="P61">
        <v>17095.5</v>
      </c>
      <c r="Q61">
        <v>297</v>
      </c>
      <c r="T61">
        <f t="shared" si="17"/>
        <v>12382.5</v>
      </c>
      <c r="U61">
        <f t="shared" si="18"/>
        <v>13202.3</v>
      </c>
      <c r="V61">
        <f t="shared" si="19"/>
        <v>15008.05</v>
      </c>
      <c r="W61">
        <f t="shared" si="20"/>
        <v>16813.8</v>
      </c>
      <c r="X61">
        <f t="shared" si="21"/>
        <v>16663.599999999999</v>
      </c>
      <c r="Y61">
        <f t="shared" si="22"/>
        <v>17356.599999999999</v>
      </c>
      <c r="Z61">
        <f t="shared" si="23"/>
        <v>17095.5</v>
      </c>
      <c r="AB61">
        <f t="shared" si="5"/>
        <v>60</v>
      </c>
      <c r="AC61">
        <v>6</v>
      </c>
      <c r="BC61">
        <v>16813.8</v>
      </c>
    </row>
    <row r="62" spans="2:55" x14ac:dyDescent="0.2">
      <c r="B62">
        <f>60031.3+25609.4</f>
        <v>85640.700000000012</v>
      </c>
      <c r="C62">
        <v>61</v>
      </c>
      <c r="D62" s="40">
        <v>85640.7</v>
      </c>
      <c r="E62">
        <v>3108.8</v>
      </c>
      <c r="F62">
        <f>58787.2+21524.3</f>
        <v>80311.5</v>
      </c>
      <c r="G62">
        <v>2199.8000000000002</v>
      </c>
      <c r="H62">
        <v>82009.600000000006</v>
      </c>
      <c r="I62">
        <v>2417.1</v>
      </c>
      <c r="J62">
        <v>82437.5</v>
      </c>
      <c r="K62">
        <v>2574.9</v>
      </c>
      <c r="L62">
        <v>90065.5</v>
      </c>
      <c r="M62">
        <v>2675.7</v>
      </c>
      <c r="N62">
        <v>97037.9</v>
      </c>
      <c r="O62">
        <v>2754.7</v>
      </c>
      <c r="P62">
        <v>97714.8</v>
      </c>
      <c r="Q62">
        <v>2571.6999999999998</v>
      </c>
      <c r="T62">
        <f t="shared" si="17"/>
        <v>85640.7</v>
      </c>
      <c r="U62">
        <f t="shared" si="18"/>
        <v>80311.5</v>
      </c>
      <c r="V62">
        <f t="shared" si="19"/>
        <v>82009.600000000006</v>
      </c>
      <c r="W62">
        <f t="shared" si="20"/>
        <v>82437.5</v>
      </c>
      <c r="X62">
        <f t="shared" si="21"/>
        <v>90065.5</v>
      </c>
      <c r="Y62">
        <f t="shared" si="22"/>
        <v>97037.9</v>
      </c>
      <c r="Z62">
        <f t="shared" si="23"/>
        <v>97714.8</v>
      </c>
      <c r="AB62">
        <f t="shared" si="5"/>
        <v>61</v>
      </c>
      <c r="AC62">
        <v>8</v>
      </c>
      <c r="BC62">
        <v>82437.5</v>
      </c>
    </row>
    <row r="63" spans="2:55" x14ac:dyDescent="0.2">
      <c r="B63">
        <f>58570.9+23438.7</f>
        <v>82009.600000000006</v>
      </c>
      <c r="C63">
        <v>62</v>
      </c>
      <c r="D63" s="37">
        <f>8661.7-D64</f>
        <v>7067.9000000000005</v>
      </c>
      <c r="E63">
        <v>726.7</v>
      </c>
      <c r="F63" s="37">
        <f>7004.1-F64</f>
        <v>5414.8</v>
      </c>
      <c r="G63">
        <v>466.6</v>
      </c>
      <c r="H63" s="37">
        <f>6933.3-H64</f>
        <v>5348</v>
      </c>
      <c r="I63">
        <v>443.9</v>
      </c>
      <c r="J63">
        <v>7562.5</v>
      </c>
      <c r="K63">
        <v>478.3</v>
      </c>
      <c r="L63">
        <v>7289.6</v>
      </c>
      <c r="M63">
        <v>462.6</v>
      </c>
      <c r="N63">
        <v>7863</v>
      </c>
      <c r="O63">
        <v>478.3</v>
      </c>
      <c r="P63">
        <v>7726.6</v>
      </c>
      <c r="Q63">
        <v>463.9</v>
      </c>
      <c r="T63">
        <f t="shared" si="17"/>
        <v>7067.9000000000005</v>
      </c>
      <c r="U63">
        <f t="shared" si="18"/>
        <v>5414.8</v>
      </c>
      <c r="V63">
        <f t="shared" si="19"/>
        <v>5348</v>
      </c>
      <c r="W63">
        <f t="shared" si="20"/>
        <v>7562.5</v>
      </c>
      <c r="X63">
        <f t="shared" si="21"/>
        <v>7289.6</v>
      </c>
      <c r="Y63">
        <f t="shared" si="22"/>
        <v>7863</v>
      </c>
      <c r="Z63">
        <f t="shared" si="23"/>
        <v>7726.6</v>
      </c>
      <c r="AB63">
        <f t="shared" si="5"/>
        <v>62</v>
      </c>
      <c r="AC63">
        <v>8</v>
      </c>
      <c r="BC63">
        <v>7562.5</v>
      </c>
    </row>
    <row r="64" spans="2:55" x14ac:dyDescent="0.2">
      <c r="C64">
        <v>63</v>
      </c>
      <c r="D64" s="40">
        <v>1593.8</v>
      </c>
      <c r="E64">
        <v>80.099999999999994</v>
      </c>
      <c r="F64">
        <v>1589.3</v>
      </c>
      <c r="G64">
        <v>62.6</v>
      </c>
      <c r="H64">
        <v>1585.3</v>
      </c>
      <c r="I64">
        <v>60.8</v>
      </c>
      <c r="J64">
        <v>1647.6</v>
      </c>
      <c r="K64">
        <v>59</v>
      </c>
      <c r="L64">
        <v>1665.3</v>
      </c>
      <c r="M64">
        <v>72.7</v>
      </c>
      <c r="N64">
        <v>1694.7</v>
      </c>
      <c r="O64">
        <v>76.099999999999994</v>
      </c>
      <c r="P64">
        <v>1579.4</v>
      </c>
      <c r="Q64">
        <v>73.3</v>
      </c>
      <c r="T64">
        <f t="shared" si="17"/>
        <v>1593.8</v>
      </c>
      <c r="U64">
        <f t="shared" si="18"/>
        <v>1589.3</v>
      </c>
      <c r="V64">
        <f t="shared" si="19"/>
        <v>1585.3</v>
      </c>
      <c r="W64">
        <f t="shared" si="20"/>
        <v>1647.6</v>
      </c>
      <c r="X64">
        <f t="shared" si="21"/>
        <v>1665.3</v>
      </c>
      <c r="Y64">
        <f t="shared" si="22"/>
        <v>1694.7</v>
      </c>
      <c r="Z64">
        <f t="shared" si="23"/>
        <v>1579.4</v>
      </c>
      <c r="AB64">
        <f t="shared" si="5"/>
        <v>63</v>
      </c>
      <c r="AC64">
        <v>8</v>
      </c>
      <c r="BC64">
        <v>1647.6</v>
      </c>
    </row>
    <row r="65" spans="2:55" x14ac:dyDescent="0.2">
      <c r="C65">
        <v>64</v>
      </c>
      <c r="D65" s="40">
        <v>11845.5</v>
      </c>
      <c r="E65">
        <v>547.29999999999995</v>
      </c>
      <c r="F65">
        <v>12108.1</v>
      </c>
      <c r="G65">
        <v>452.5</v>
      </c>
      <c r="H65">
        <v>14156.9</v>
      </c>
      <c r="I65">
        <v>449</v>
      </c>
      <c r="J65">
        <v>13702</v>
      </c>
      <c r="K65">
        <v>466.1</v>
      </c>
      <c r="L65">
        <v>14189.7</v>
      </c>
      <c r="M65">
        <v>476.5</v>
      </c>
      <c r="N65">
        <v>14786.8</v>
      </c>
      <c r="O65">
        <v>492.1</v>
      </c>
      <c r="P65">
        <v>15360.2</v>
      </c>
      <c r="Q65">
        <v>457.6</v>
      </c>
      <c r="T65">
        <f t="shared" si="17"/>
        <v>11845.5</v>
      </c>
      <c r="U65">
        <f t="shared" si="18"/>
        <v>12108.1</v>
      </c>
      <c r="V65">
        <f t="shared" si="19"/>
        <v>14156.9</v>
      </c>
      <c r="W65">
        <f t="shared" si="20"/>
        <v>13702</v>
      </c>
      <c r="X65">
        <f t="shared" si="21"/>
        <v>14189.7</v>
      </c>
      <c r="Y65">
        <f t="shared" si="22"/>
        <v>14786.8</v>
      </c>
      <c r="Z65">
        <f t="shared" si="23"/>
        <v>15360.2</v>
      </c>
      <c r="AB65">
        <f t="shared" si="5"/>
        <v>64</v>
      </c>
      <c r="AC65">
        <v>8</v>
      </c>
      <c r="BC65">
        <v>13702</v>
      </c>
    </row>
    <row r="66" spans="2:55" x14ac:dyDescent="0.2">
      <c r="C66">
        <v>65</v>
      </c>
      <c r="D66" s="40">
        <v>1281.2</v>
      </c>
      <c r="E66">
        <v>100.7</v>
      </c>
      <c r="F66">
        <v>1315</v>
      </c>
      <c r="G66">
        <v>80.099999999999994</v>
      </c>
      <c r="H66">
        <v>1703.5</v>
      </c>
      <c r="I66">
        <v>88.2</v>
      </c>
      <c r="J66">
        <v>1744.9</v>
      </c>
      <c r="K66">
        <v>96.8</v>
      </c>
      <c r="L66">
        <v>1714.4</v>
      </c>
      <c r="M66">
        <v>106.9</v>
      </c>
      <c r="N66">
        <v>1855.4</v>
      </c>
      <c r="O66">
        <v>114.3</v>
      </c>
      <c r="P66">
        <v>1777.8</v>
      </c>
      <c r="Q66">
        <v>109.6</v>
      </c>
      <c r="T66">
        <f t="shared" si="17"/>
        <v>1281.2</v>
      </c>
      <c r="U66">
        <f t="shared" si="18"/>
        <v>1315</v>
      </c>
      <c r="V66">
        <f t="shared" si="19"/>
        <v>1703.5</v>
      </c>
      <c r="W66">
        <f t="shared" si="20"/>
        <v>1744.9</v>
      </c>
      <c r="X66">
        <f t="shared" si="21"/>
        <v>1714.4</v>
      </c>
      <c r="Y66">
        <f t="shared" si="22"/>
        <v>1855.4</v>
      </c>
      <c r="Z66">
        <f t="shared" si="23"/>
        <v>1777.8</v>
      </c>
      <c r="AB66">
        <f t="shared" si="5"/>
        <v>65</v>
      </c>
      <c r="AC66">
        <v>8</v>
      </c>
      <c r="BC66">
        <v>1744.9</v>
      </c>
    </row>
    <row r="67" spans="2:55" x14ac:dyDescent="0.2">
      <c r="C67">
        <v>66</v>
      </c>
      <c r="D67" s="40">
        <v>7010.4</v>
      </c>
      <c r="E67">
        <v>312.2</v>
      </c>
      <c r="F67">
        <v>7231</v>
      </c>
      <c r="G67">
        <v>257.7</v>
      </c>
      <c r="H67">
        <v>6751.8</v>
      </c>
      <c r="I67">
        <v>228.3</v>
      </c>
      <c r="J67">
        <v>6612.6</v>
      </c>
      <c r="K67">
        <v>209.1</v>
      </c>
      <c r="L67">
        <v>6989.2</v>
      </c>
      <c r="M67">
        <v>248</v>
      </c>
      <c r="N67">
        <v>6859.7</v>
      </c>
      <c r="O67">
        <v>254.3</v>
      </c>
      <c r="P67">
        <v>6930.6</v>
      </c>
      <c r="Q67">
        <v>238.9</v>
      </c>
      <c r="T67">
        <f t="shared" si="17"/>
        <v>7010.4</v>
      </c>
      <c r="U67">
        <f t="shared" si="18"/>
        <v>7231</v>
      </c>
      <c r="V67">
        <f t="shared" si="19"/>
        <v>6751.8</v>
      </c>
      <c r="W67">
        <f t="shared" si="20"/>
        <v>6612.6</v>
      </c>
      <c r="X67">
        <f t="shared" si="21"/>
        <v>6989.2</v>
      </c>
      <c r="Y67">
        <f t="shared" si="22"/>
        <v>6859.7</v>
      </c>
      <c r="Z67">
        <f t="shared" si="23"/>
        <v>6930.6</v>
      </c>
      <c r="AB67">
        <f t="shared" si="5"/>
        <v>66</v>
      </c>
      <c r="AC67">
        <v>8</v>
      </c>
      <c r="BC67">
        <v>6612.6</v>
      </c>
    </row>
    <row r="68" spans="2:55" x14ac:dyDescent="0.2">
      <c r="B68">
        <f>4616.8+2498</f>
        <v>7114.8</v>
      </c>
      <c r="C68">
        <v>67</v>
      </c>
      <c r="D68" s="40">
        <v>7114.8</v>
      </c>
      <c r="E68">
        <v>359.7</v>
      </c>
      <c r="F68">
        <v>7442.5</v>
      </c>
      <c r="G68">
        <v>300</v>
      </c>
      <c r="H68">
        <v>8113.1</v>
      </c>
      <c r="I68">
        <v>277.7</v>
      </c>
      <c r="J68">
        <v>8602.1</v>
      </c>
      <c r="K68">
        <v>292.10000000000002</v>
      </c>
      <c r="L68">
        <v>8305.4</v>
      </c>
      <c r="M68">
        <v>271.5</v>
      </c>
      <c r="N68">
        <v>8468.5</v>
      </c>
      <c r="O68">
        <v>271.10000000000002</v>
      </c>
      <c r="P68">
        <v>9196.6</v>
      </c>
      <c r="Q68">
        <v>271.89999999999998</v>
      </c>
      <c r="T68">
        <f t="shared" si="17"/>
        <v>7114.8</v>
      </c>
      <c r="U68">
        <f t="shared" si="18"/>
        <v>7442.5</v>
      </c>
      <c r="V68">
        <f t="shared" si="19"/>
        <v>8113.1</v>
      </c>
      <c r="W68">
        <f t="shared" si="20"/>
        <v>8602.1</v>
      </c>
      <c r="X68">
        <f t="shared" si="21"/>
        <v>8305.4</v>
      </c>
      <c r="Y68">
        <f t="shared" si="22"/>
        <v>8468.5</v>
      </c>
      <c r="Z68">
        <f t="shared" si="23"/>
        <v>9196.6</v>
      </c>
      <c r="AB68">
        <f t="shared" ref="AB68:AB76" si="40">AB67+1</f>
        <v>67</v>
      </c>
      <c r="AC68">
        <v>8</v>
      </c>
      <c r="BC68">
        <v>8602.1</v>
      </c>
    </row>
    <row r="69" spans="2:55" x14ac:dyDescent="0.2">
      <c r="C69">
        <v>68</v>
      </c>
      <c r="D69" s="41">
        <v>948.4</v>
      </c>
      <c r="E69">
        <v>50.6</v>
      </c>
      <c r="F69">
        <v>994.9</v>
      </c>
      <c r="G69">
        <v>45.2</v>
      </c>
      <c r="H69">
        <v>1142.4000000000001</v>
      </c>
      <c r="I69">
        <v>41.8</v>
      </c>
      <c r="J69">
        <v>1543.5</v>
      </c>
      <c r="K69">
        <v>50.2</v>
      </c>
      <c r="L69">
        <v>1197.9000000000001</v>
      </c>
      <c r="M69">
        <v>40.9</v>
      </c>
      <c r="N69">
        <v>1145.9000000000001</v>
      </c>
      <c r="O69">
        <v>38.799999999999997</v>
      </c>
      <c r="P69">
        <v>1136.5999999999999</v>
      </c>
      <c r="Q69">
        <v>38.799999999999997</v>
      </c>
      <c r="T69">
        <f t="shared" si="17"/>
        <v>948.4</v>
      </c>
      <c r="U69">
        <f t="shared" si="18"/>
        <v>994.9</v>
      </c>
      <c r="V69">
        <f t="shared" si="19"/>
        <v>1142.4000000000001</v>
      </c>
      <c r="W69">
        <f t="shared" si="20"/>
        <v>1543.5</v>
      </c>
      <c r="X69">
        <f t="shared" si="21"/>
        <v>1197.9000000000001</v>
      </c>
      <c r="Y69">
        <f t="shared" si="22"/>
        <v>1145.9000000000001</v>
      </c>
      <c r="Z69">
        <f t="shared" si="23"/>
        <v>1136.5999999999999</v>
      </c>
      <c r="AB69">
        <f t="shared" si="40"/>
        <v>68</v>
      </c>
      <c r="AC69">
        <v>8</v>
      </c>
      <c r="BC69">
        <v>1543.5</v>
      </c>
    </row>
    <row r="70" spans="2:55" x14ac:dyDescent="0.2">
      <c r="C70">
        <v>69</v>
      </c>
      <c r="D70" s="40">
        <v>3359.8</v>
      </c>
      <c r="E70">
        <v>233.9</v>
      </c>
      <c r="F70">
        <v>3280.1</v>
      </c>
      <c r="G70">
        <v>198.2</v>
      </c>
      <c r="H70">
        <v>3472.9</v>
      </c>
      <c r="I70">
        <v>189.1</v>
      </c>
      <c r="J70">
        <v>3695.9</v>
      </c>
      <c r="K70">
        <v>185.5</v>
      </c>
      <c r="L70">
        <v>3581.3</v>
      </c>
      <c r="M70">
        <v>187.1</v>
      </c>
      <c r="N70">
        <v>3593.3</v>
      </c>
      <c r="O70">
        <v>182.1</v>
      </c>
      <c r="P70">
        <v>3559.9</v>
      </c>
      <c r="Q70">
        <v>164.4</v>
      </c>
      <c r="T70">
        <f t="shared" si="17"/>
        <v>3359.8</v>
      </c>
      <c r="U70">
        <f t="shared" si="18"/>
        <v>3280.1</v>
      </c>
      <c r="V70">
        <f t="shared" si="19"/>
        <v>3472.9</v>
      </c>
      <c r="W70">
        <f t="shared" si="20"/>
        <v>3695.9</v>
      </c>
      <c r="X70">
        <f t="shared" si="21"/>
        <v>3581.3</v>
      </c>
      <c r="Y70">
        <f t="shared" si="22"/>
        <v>3593.3</v>
      </c>
      <c r="Z70">
        <f t="shared" si="23"/>
        <v>3559.9</v>
      </c>
      <c r="AB70">
        <f t="shared" si="40"/>
        <v>69</v>
      </c>
      <c r="AC70">
        <v>8</v>
      </c>
      <c r="BC70">
        <v>3695.9</v>
      </c>
    </row>
    <row r="71" spans="2:55" x14ac:dyDescent="0.2">
      <c r="B71">
        <f>SUM(D62:D70)</f>
        <v>125862.49999999999</v>
      </c>
      <c r="C71">
        <v>70</v>
      </c>
      <c r="D71">
        <v>33380.5</v>
      </c>
      <c r="E71">
        <v>3257.5</v>
      </c>
      <c r="F71">
        <v>35274.5</v>
      </c>
      <c r="G71">
        <v>2435.4</v>
      </c>
      <c r="H71">
        <v>31306.9</v>
      </c>
      <c r="I71">
        <v>1780.9</v>
      </c>
      <c r="J71">
        <v>32191.599999999999</v>
      </c>
      <c r="K71">
        <v>1871.8</v>
      </c>
      <c r="L71">
        <v>31903.5</v>
      </c>
      <c r="M71">
        <v>1972.4</v>
      </c>
      <c r="N71">
        <v>33034.300000000003</v>
      </c>
      <c r="O71">
        <v>2377.8000000000002</v>
      </c>
      <c r="P71">
        <v>32904.9</v>
      </c>
      <c r="Q71">
        <v>2206.3000000000002</v>
      </c>
      <c r="T71">
        <f t="shared" si="17"/>
        <v>33380.5</v>
      </c>
      <c r="U71">
        <f t="shared" si="18"/>
        <v>35274.5</v>
      </c>
      <c r="V71">
        <f t="shared" si="19"/>
        <v>31306.9</v>
      </c>
      <c r="W71">
        <f t="shared" si="20"/>
        <v>32191.599999999999</v>
      </c>
      <c r="X71">
        <f t="shared" si="21"/>
        <v>31903.5</v>
      </c>
      <c r="Y71">
        <f t="shared" si="22"/>
        <v>33034.300000000003</v>
      </c>
      <c r="Z71">
        <f t="shared" si="23"/>
        <v>32904.9</v>
      </c>
      <c r="AB71">
        <f t="shared" si="40"/>
        <v>70</v>
      </c>
      <c r="AC71">
        <v>7</v>
      </c>
      <c r="BC71">
        <v>32191.599999999999</v>
      </c>
    </row>
    <row r="72" spans="2:55" x14ac:dyDescent="0.2">
      <c r="B72">
        <f>SUM(F62:F70)</f>
        <v>119687.20000000001</v>
      </c>
      <c r="C72">
        <v>71</v>
      </c>
      <c r="D72">
        <v>403.6</v>
      </c>
      <c r="E72">
        <v>44.7</v>
      </c>
      <c r="F72">
        <v>433.7</v>
      </c>
      <c r="G72">
        <v>46.5</v>
      </c>
      <c r="H72">
        <v>513.29999999999995</v>
      </c>
      <c r="I72">
        <v>31.3</v>
      </c>
      <c r="J72">
        <v>551.20000000000005</v>
      </c>
      <c r="K72">
        <v>33.200000000000003</v>
      </c>
      <c r="L72">
        <v>563.79999999999995</v>
      </c>
      <c r="M72">
        <v>35.6</v>
      </c>
      <c r="N72">
        <v>589.70000000000005</v>
      </c>
      <c r="O72">
        <v>34.700000000000003</v>
      </c>
      <c r="P72">
        <v>621.29999999999995</v>
      </c>
      <c r="Q72">
        <v>39.4</v>
      </c>
      <c r="T72">
        <f t="shared" si="17"/>
        <v>403.6</v>
      </c>
      <c r="U72">
        <f t="shared" si="18"/>
        <v>433.7</v>
      </c>
      <c r="V72">
        <f t="shared" si="19"/>
        <v>513.29999999999995</v>
      </c>
      <c r="W72">
        <f t="shared" si="20"/>
        <v>551.20000000000005</v>
      </c>
      <c r="X72">
        <f t="shared" si="21"/>
        <v>563.79999999999995</v>
      </c>
      <c r="Y72">
        <f t="shared" si="22"/>
        <v>589.70000000000005</v>
      </c>
      <c r="Z72">
        <f t="shared" si="23"/>
        <v>621.29999999999995</v>
      </c>
      <c r="AB72">
        <f t="shared" si="40"/>
        <v>71</v>
      </c>
      <c r="AC72">
        <v>7</v>
      </c>
      <c r="BC72">
        <v>551.20000000000005</v>
      </c>
    </row>
    <row r="73" spans="2:55" x14ac:dyDescent="0.2">
      <c r="C73">
        <v>72</v>
      </c>
      <c r="D73">
        <v>1349.9</v>
      </c>
      <c r="E73">
        <v>242</v>
      </c>
      <c r="F73">
        <v>1352.2</v>
      </c>
      <c r="G73">
        <v>200.5</v>
      </c>
      <c r="H73">
        <v>1625.6</v>
      </c>
      <c r="I73">
        <v>191.4</v>
      </c>
      <c r="J73">
        <v>1686.2</v>
      </c>
      <c r="K73">
        <v>193.2</v>
      </c>
      <c r="L73">
        <v>1657</v>
      </c>
      <c r="M73">
        <v>190.6</v>
      </c>
      <c r="N73">
        <v>1642.6</v>
      </c>
      <c r="O73">
        <v>210.7</v>
      </c>
      <c r="P73">
        <v>1536</v>
      </c>
      <c r="Q73">
        <v>187.2</v>
      </c>
      <c r="T73">
        <f t="shared" si="17"/>
        <v>1349.9</v>
      </c>
      <c r="U73">
        <f t="shared" si="18"/>
        <v>1352.2</v>
      </c>
      <c r="V73">
        <f t="shared" si="19"/>
        <v>1625.6</v>
      </c>
      <c r="W73">
        <f t="shared" si="20"/>
        <v>1686.2</v>
      </c>
      <c r="X73">
        <f t="shared" si="21"/>
        <v>1657</v>
      </c>
      <c r="Y73">
        <f t="shared" si="22"/>
        <v>1642.6</v>
      </c>
      <c r="Z73">
        <f t="shared" si="23"/>
        <v>1536</v>
      </c>
      <c r="AB73">
        <f t="shared" si="40"/>
        <v>72</v>
      </c>
      <c r="AC73">
        <v>7</v>
      </c>
      <c r="BC73">
        <v>1686.2</v>
      </c>
    </row>
    <row r="74" spans="2:55" x14ac:dyDescent="0.2">
      <c r="C74">
        <v>73</v>
      </c>
      <c r="D74">
        <v>30102.5</v>
      </c>
      <c r="E74">
        <v>557.6</v>
      </c>
      <c r="F74">
        <v>31221.4</v>
      </c>
      <c r="G74">
        <v>483.8</v>
      </c>
      <c r="H74">
        <v>33080</v>
      </c>
      <c r="I74">
        <v>514.20000000000005</v>
      </c>
      <c r="J74">
        <v>34780.699999999997</v>
      </c>
      <c r="K74">
        <v>503.8</v>
      </c>
      <c r="L74">
        <v>35582.9</v>
      </c>
      <c r="M74">
        <v>561.79999999999995</v>
      </c>
      <c r="N74">
        <v>36677.800000000003</v>
      </c>
      <c r="O74">
        <v>528.9</v>
      </c>
      <c r="P74">
        <v>36130.6</v>
      </c>
      <c r="Q74">
        <v>477.2</v>
      </c>
      <c r="T74">
        <f>D74</f>
        <v>30102.5</v>
      </c>
      <c r="U74">
        <f>F74</f>
        <v>31221.4</v>
      </c>
      <c r="V74">
        <f>H74</f>
        <v>33080</v>
      </c>
      <c r="W74">
        <f>J74</f>
        <v>34780.699999999997</v>
      </c>
      <c r="X74">
        <f>L74</f>
        <v>35582.9</v>
      </c>
      <c r="Y74">
        <f>N74</f>
        <v>36677.800000000003</v>
      </c>
      <c r="Z74">
        <f>P74</f>
        <v>36130.6</v>
      </c>
      <c r="AB74">
        <f t="shared" si="40"/>
        <v>73</v>
      </c>
      <c r="AC74">
        <v>9</v>
      </c>
      <c r="BC74">
        <v>34780.699999999997</v>
      </c>
    </row>
    <row r="75" spans="2:55" x14ac:dyDescent="0.2">
      <c r="C75">
        <v>74</v>
      </c>
      <c r="D75">
        <v>292.2</v>
      </c>
      <c r="E75">
        <v>32.9</v>
      </c>
      <c r="F75">
        <v>264.39999999999998</v>
      </c>
      <c r="G75">
        <v>24.9</v>
      </c>
      <c r="H75">
        <v>335.9</v>
      </c>
      <c r="I75">
        <v>22.8</v>
      </c>
      <c r="J75">
        <v>357.6</v>
      </c>
      <c r="K75">
        <v>22.9</v>
      </c>
      <c r="L75">
        <v>259.10000000000002</v>
      </c>
      <c r="M75">
        <v>15</v>
      </c>
      <c r="N75">
        <v>242.2</v>
      </c>
      <c r="O75">
        <v>13.3</v>
      </c>
      <c r="P75">
        <v>225</v>
      </c>
      <c r="Q75">
        <v>11.6</v>
      </c>
      <c r="T75">
        <f>D75</f>
        <v>292.2</v>
      </c>
      <c r="U75">
        <f>F75</f>
        <v>264.39999999999998</v>
      </c>
      <c r="V75">
        <f>H75</f>
        <v>335.9</v>
      </c>
      <c r="W75">
        <f>J75</f>
        <v>357.6</v>
      </c>
      <c r="X75">
        <f>L75</f>
        <v>259.10000000000002</v>
      </c>
      <c r="Y75">
        <f>N75</f>
        <v>242.2</v>
      </c>
      <c r="Z75">
        <f>P75</f>
        <v>225</v>
      </c>
      <c r="AB75">
        <f t="shared" si="40"/>
        <v>74</v>
      </c>
      <c r="AC75">
        <v>3</v>
      </c>
      <c r="BC75">
        <v>357.6</v>
      </c>
    </row>
    <row r="76" spans="2:55" x14ac:dyDescent="0.2">
      <c r="C76">
        <v>75</v>
      </c>
      <c r="D76">
        <f>1040.2-D75</f>
        <v>748</v>
      </c>
      <c r="E76">
        <v>18.2</v>
      </c>
      <c r="F76">
        <v>705.1</v>
      </c>
      <c r="G76">
        <v>14.2</v>
      </c>
      <c r="H76">
        <v>689.2</v>
      </c>
      <c r="I76">
        <v>13.3</v>
      </c>
      <c r="J76">
        <v>690.7</v>
      </c>
      <c r="K76">
        <v>12.8</v>
      </c>
      <c r="L76">
        <v>721.1</v>
      </c>
      <c r="M76">
        <v>13.8</v>
      </c>
      <c r="N76">
        <v>690.2</v>
      </c>
      <c r="O76">
        <v>12.8</v>
      </c>
      <c r="P76">
        <v>648.4</v>
      </c>
      <c r="Q76">
        <v>12.9</v>
      </c>
      <c r="T76">
        <f>D76</f>
        <v>748</v>
      </c>
      <c r="U76">
        <f>F76</f>
        <v>705.1</v>
      </c>
      <c r="V76">
        <f>H76</f>
        <v>689.2</v>
      </c>
      <c r="W76">
        <f>J76</f>
        <v>690.7</v>
      </c>
      <c r="X76">
        <f>L76</f>
        <v>721.1</v>
      </c>
      <c r="Y76">
        <f>N76</f>
        <v>690.2</v>
      </c>
      <c r="Z76">
        <f>P76</f>
        <v>648.4</v>
      </c>
      <c r="AB76">
        <f t="shared" si="40"/>
        <v>75</v>
      </c>
      <c r="AC76">
        <v>3</v>
      </c>
      <c r="BC76">
        <v>690.7</v>
      </c>
    </row>
    <row r="78" spans="2:55" x14ac:dyDescent="0.2">
      <c r="D78">
        <v>1986</v>
      </c>
      <c r="E78">
        <v>1985</v>
      </c>
      <c r="F78">
        <v>1987</v>
      </c>
    </row>
    <row r="79" spans="2:55" x14ac:dyDescent="0.2">
      <c r="C79" t="s">
        <v>123</v>
      </c>
      <c r="D79">
        <v>46172.1</v>
      </c>
      <c r="E79">
        <v>45293.9</v>
      </c>
      <c r="F79">
        <v>50001.2</v>
      </c>
      <c r="H79" t="s">
        <v>338</v>
      </c>
    </row>
    <row r="80" spans="2:55" x14ac:dyDescent="0.2">
      <c r="C80">
        <v>21</v>
      </c>
      <c r="D80">
        <v>1409</v>
      </c>
      <c r="E80">
        <v>1486.3</v>
      </c>
      <c r="F80">
        <v>1526.8</v>
      </c>
    </row>
    <row r="81" spans="3:12" x14ac:dyDescent="0.2">
      <c r="C81">
        <f>C80+1</f>
        <v>22</v>
      </c>
      <c r="D81">
        <v>26380.400000000001</v>
      </c>
      <c r="E81">
        <v>25525.1</v>
      </c>
      <c r="F81">
        <v>29624.5</v>
      </c>
      <c r="J81">
        <v>1985</v>
      </c>
      <c r="K81">
        <v>1986</v>
      </c>
    </row>
    <row r="82" spans="3:12" x14ac:dyDescent="0.2">
      <c r="C82">
        <f t="shared" ref="C82:C98" si="41">C81+1</f>
        <v>23</v>
      </c>
      <c r="D82">
        <v>6305.1</v>
      </c>
      <c r="E82">
        <v>6131.4</v>
      </c>
      <c r="F82">
        <v>6595.2</v>
      </c>
      <c r="I82" t="s">
        <v>125</v>
      </c>
      <c r="J82" s="98">
        <v>3568.7010734759374</v>
      </c>
      <c r="K82" s="98">
        <v>3859.2721653276858</v>
      </c>
    </row>
    <row r="83" spans="3:12" x14ac:dyDescent="0.2">
      <c r="C83">
        <f t="shared" si="41"/>
        <v>24</v>
      </c>
      <c r="D83">
        <v>17759.599999999999</v>
      </c>
      <c r="E83">
        <v>16765.5</v>
      </c>
      <c r="F83">
        <v>20763</v>
      </c>
      <c r="I83" t="s">
        <v>126</v>
      </c>
      <c r="J83" t="s">
        <v>335</v>
      </c>
      <c r="K83" t="s">
        <v>336</v>
      </c>
      <c r="L83" t="s">
        <v>337</v>
      </c>
    </row>
    <row r="84" spans="3:12" x14ac:dyDescent="0.2">
      <c r="C84">
        <f t="shared" si="41"/>
        <v>25</v>
      </c>
      <c r="D84">
        <v>4678.5</v>
      </c>
      <c r="E84">
        <v>4475.2</v>
      </c>
      <c r="F84">
        <v>5712.8</v>
      </c>
    </row>
    <row r="85" spans="3:12" x14ac:dyDescent="0.2">
      <c r="C85">
        <f t="shared" si="41"/>
        <v>26</v>
      </c>
      <c r="D85">
        <v>55032.4</v>
      </c>
      <c r="E85">
        <v>52449.2</v>
      </c>
      <c r="F85">
        <v>59247.6</v>
      </c>
      <c r="I85" t="s">
        <v>128</v>
      </c>
      <c r="J85">
        <v>1985</v>
      </c>
      <c r="K85">
        <v>1985</v>
      </c>
    </row>
    <row r="86" spans="3:12" x14ac:dyDescent="0.2">
      <c r="C86">
        <f t="shared" si="41"/>
        <v>27</v>
      </c>
      <c r="D86">
        <v>13202.3</v>
      </c>
      <c r="E86">
        <v>12382.5</v>
      </c>
      <c r="F86">
        <v>15746</v>
      </c>
      <c r="I86" t="s">
        <v>127</v>
      </c>
      <c r="J86">
        <v>433.2</v>
      </c>
      <c r="K86">
        <v>417</v>
      </c>
    </row>
    <row r="87" spans="3:12" x14ac:dyDescent="0.2">
      <c r="C87">
        <f t="shared" si="41"/>
        <v>28</v>
      </c>
      <c r="D87">
        <v>119687.1</v>
      </c>
      <c r="E87">
        <v>125862.5</v>
      </c>
      <c r="F87">
        <v>124283.3</v>
      </c>
    </row>
    <row r="88" spans="3:12" x14ac:dyDescent="0.2">
      <c r="C88">
        <f t="shared" si="41"/>
        <v>29</v>
      </c>
      <c r="D88">
        <v>37060.400000000001</v>
      </c>
      <c r="E88">
        <v>35134</v>
      </c>
      <c r="F88">
        <v>33445.800000000003</v>
      </c>
    </row>
    <row r="89" spans="3:12" x14ac:dyDescent="0.2">
      <c r="C89">
        <f t="shared" si="41"/>
        <v>30</v>
      </c>
      <c r="D89">
        <v>31224.400000000001</v>
      </c>
      <c r="E89">
        <v>30102.5</v>
      </c>
      <c r="F89">
        <v>33080</v>
      </c>
    </row>
    <row r="90" spans="3:12" x14ac:dyDescent="0.2">
      <c r="C90">
        <f t="shared" si="41"/>
        <v>31</v>
      </c>
      <c r="D90">
        <v>969.5</v>
      </c>
      <c r="E90">
        <v>1040.2</v>
      </c>
      <c r="F90">
        <v>1025.0999999999999</v>
      </c>
    </row>
    <row r="91" spans="3:12" x14ac:dyDescent="0.2">
      <c r="C91">
        <f t="shared" si="41"/>
        <v>32</v>
      </c>
      <c r="D91">
        <v>31628.400000000001</v>
      </c>
      <c r="E91">
        <v>30516.799999999999</v>
      </c>
      <c r="F91">
        <v>33311.5</v>
      </c>
    </row>
    <row r="92" spans="3:12" x14ac:dyDescent="0.2">
      <c r="C92">
        <f t="shared" si="41"/>
        <v>33</v>
      </c>
      <c r="D92">
        <v>125443.8</v>
      </c>
      <c r="E92">
        <v>133152.1</v>
      </c>
      <c r="F92">
        <v>130668.7</v>
      </c>
    </row>
    <row r="93" spans="3:12" x14ac:dyDescent="0.2">
      <c r="C93">
        <f t="shared" si="41"/>
        <v>34</v>
      </c>
      <c r="D93">
        <v>27340.3</v>
      </c>
      <c r="E93">
        <v>27974.1</v>
      </c>
      <c r="F93">
        <v>31448.9</v>
      </c>
    </row>
    <row r="94" spans="3:12" x14ac:dyDescent="0.2">
      <c r="C94">
        <f t="shared" si="41"/>
        <v>35</v>
      </c>
      <c r="D94">
        <v>29983.9</v>
      </c>
      <c r="E94">
        <v>30273.599999999999</v>
      </c>
      <c r="F94">
        <v>33354.199999999997</v>
      </c>
    </row>
    <row r="95" spans="3:12" x14ac:dyDescent="0.2">
      <c r="C95">
        <f t="shared" si="41"/>
        <v>36</v>
      </c>
      <c r="D95">
        <v>33936.199999999997</v>
      </c>
      <c r="E95">
        <v>32823</v>
      </c>
      <c r="F95">
        <v>31344.1</v>
      </c>
    </row>
    <row r="96" spans="3:12" x14ac:dyDescent="0.2">
      <c r="C96">
        <f t="shared" si="41"/>
        <v>37</v>
      </c>
      <c r="D96">
        <v>35831.1</v>
      </c>
      <c r="E96">
        <v>34536.5</v>
      </c>
      <c r="F96">
        <v>38291.1</v>
      </c>
    </row>
    <row r="97" spans="3:6" x14ac:dyDescent="0.2">
      <c r="C97">
        <f t="shared" si="41"/>
        <v>38</v>
      </c>
      <c r="D97">
        <v>7631.7</v>
      </c>
      <c r="E97">
        <v>7329.9</v>
      </c>
      <c r="F97">
        <v>13126</v>
      </c>
    </row>
    <row r="98" spans="3:6" x14ac:dyDescent="0.2">
      <c r="C98">
        <f t="shared" si="41"/>
        <v>39</v>
      </c>
      <c r="D98">
        <v>3554.5</v>
      </c>
      <c r="E98">
        <v>3485.8</v>
      </c>
      <c r="F98">
        <v>4636.8999999999996</v>
      </c>
    </row>
    <row r="99" spans="3:6" x14ac:dyDescent="0.2">
      <c r="E99">
        <f>SUM(E79:E98)</f>
        <v>656740.1</v>
      </c>
      <c r="F99">
        <f>SUM(F79:F98)</f>
        <v>697232.7</v>
      </c>
    </row>
    <row r="100" spans="3:6" x14ac:dyDescent="0.2">
      <c r="E100">
        <f>E99*3.412*0.001</f>
        <v>2240.7972212</v>
      </c>
    </row>
  </sheetData>
  <phoneticPr fontId="0"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AAEE2-A81A-458F-8408-AAC21A2CD84E}">
  <dimension ref="A1:O82"/>
  <sheetViews>
    <sheetView topLeftCell="D53" workbookViewId="0">
      <selection activeCell="E49" sqref="E49:E82"/>
    </sheetView>
  </sheetViews>
  <sheetFormatPr defaultRowHeight="15" x14ac:dyDescent="0.25"/>
  <cols>
    <col min="1" max="1" width="60.140625" style="110" bestFit="1" customWidth="1"/>
    <col min="2" max="2" width="41.5703125" style="110" bestFit="1" customWidth="1"/>
    <col min="3" max="3" width="91" style="110" bestFit="1" customWidth="1"/>
    <col min="4" max="4" width="69.5703125" style="110" bestFit="1" customWidth="1"/>
    <col min="5" max="5" width="56.7109375" style="110" bestFit="1" customWidth="1"/>
    <col min="6" max="6" width="71.7109375" style="110" bestFit="1" customWidth="1"/>
    <col min="7" max="7" width="55.5703125" style="110" bestFit="1" customWidth="1"/>
    <col min="8" max="8" width="50.140625" style="110" bestFit="1" customWidth="1"/>
    <col min="9" max="9" width="49.140625" style="110" bestFit="1" customWidth="1"/>
    <col min="10" max="10" width="52.42578125" style="110" bestFit="1" customWidth="1"/>
    <col min="11" max="11" width="61" style="110" bestFit="1" customWidth="1"/>
    <col min="12" max="12" width="58.85546875" style="110" bestFit="1" customWidth="1"/>
    <col min="13" max="14" width="53.42578125" style="110" bestFit="1" customWidth="1"/>
    <col min="15" max="15" width="50.140625" style="110" bestFit="1" customWidth="1"/>
    <col min="16" max="16384" width="9.140625" style="110"/>
  </cols>
  <sheetData>
    <row r="1" spans="1:15" ht="18.75" x14ac:dyDescent="0.3">
      <c r="A1" s="109" t="s">
        <v>429</v>
      </c>
    </row>
    <row r="2" spans="1:15" ht="18.75" x14ac:dyDescent="0.3">
      <c r="A2" s="111" t="s">
        <v>430</v>
      </c>
    </row>
    <row r="4" spans="1:15" x14ac:dyDescent="0.25">
      <c r="A4" s="112" t="str">
        <f>HYPERLINK("http://www.eia.gov/totalenergy/data/monthly/dataunits.cfm","Note: Information about data precision.")</f>
        <v>Note: Information about data precision.</v>
      </c>
    </row>
    <row r="6" spans="1:15" x14ac:dyDescent="0.25">
      <c r="A6" s="110" t="s">
        <v>431</v>
      </c>
    </row>
    <row r="7" spans="1:15" x14ac:dyDescent="0.25">
      <c r="A7" s="110" t="s">
        <v>432</v>
      </c>
    </row>
    <row r="9" spans="1:15" ht="15.75" x14ac:dyDescent="0.25">
      <c r="A9" s="113" t="s">
        <v>433</v>
      </c>
    </row>
    <row r="11" spans="1:15" x14ac:dyDescent="0.25">
      <c r="A11" s="114" t="s">
        <v>434</v>
      </c>
      <c r="B11" s="114" t="s">
        <v>435</v>
      </c>
      <c r="C11" s="114" t="s">
        <v>436</v>
      </c>
      <c r="D11" s="114" t="s">
        <v>437</v>
      </c>
      <c r="E11" s="114" t="s">
        <v>438</v>
      </c>
      <c r="F11" s="114" t="s">
        <v>439</v>
      </c>
      <c r="G11" s="114" t="s">
        <v>440</v>
      </c>
      <c r="H11" s="114" t="s">
        <v>441</v>
      </c>
      <c r="I11" s="114" t="s">
        <v>442</v>
      </c>
      <c r="J11" s="114" t="s">
        <v>443</v>
      </c>
      <c r="K11" s="114" t="s">
        <v>444</v>
      </c>
      <c r="L11" s="114" t="s">
        <v>445</v>
      </c>
      <c r="M11" s="114" t="s">
        <v>446</v>
      </c>
      <c r="N11" s="114" t="s">
        <v>447</v>
      </c>
      <c r="O11" s="114" t="s">
        <v>448</v>
      </c>
    </row>
    <row r="12" spans="1:15" x14ac:dyDescent="0.25">
      <c r="A12" s="114"/>
      <c r="B12" s="114" t="s">
        <v>449</v>
      </c>
      <c r="C12" s="114" t="s">
        <v>449</v>
      </c>
      <c r="D12" s="114" t="s">
        <v>449</v>
      </c>
      <c r="E12" s="114" t="s">
        <v>449</v>
      </c>
      <c r="F12" s="114" t="s">
        <v>449</v>
      </c>
      <c r="G12" s="114" t="s">
        <v>449</v>
      </c>
      <c r="H12" s="114" t="s">
        <v>449</v>
      </c>
      <c r="I12" s="114" t="s">
        <v>449</v>
      </c>
      <c r="J12" s="114" t="s">
        <v>449</v>
      </c>
      <c r="K12" s="114" t="s">
        <v>449</v>
      </c>
      <c r="L12" s="114" t="s">
        <v>449</v>
      </c>
      <c r="M12" s="114" t="s">
        <v>449</v>
      </c>
      <c r="N12" s="114" t="s">
        <v>449</v>
      </c>
      <c r="O12" s="114" t="s">
        <v>449</v>
      </c>
    </row>
    <row r="13" spans="1:15" x14ac:dyDescent="0.25">
      <c r="A13" s="115">
        <v>1949</v>
      </c>
      <c r="B13" s="110">
        <v>5433.1009999999997</v>
      </c>
      <c r="C13" s="110">
        <v>3188.4920000000002</v>
      </c>
      <c r="D13" s="110">
        <v>3460.7170000000001</v>
      </c>
      <c r="E13" s="110">
        <v>12075.638999999999</v>
      </c>
      <c r="F13" s="110">
        <v>75.537000000000006</v>
      </c>
      <c r="G13" s="110" t="s">
        <v>450</v>
      </c>
      <c r="H13" s="110" t="s">
        <v>450</v>
      </c>
      <c r="I13" s="110" t="s">
        <v>450</v>
      </c>
      <c r="J13" s="110">
        <v>468.28699999999998</v>
      </c>
      <c r="K13" s="110">
        <v>543.82399999999996</v>
      </c>
      <c r="L13" s="110">
        <v>12619.463</v>
      </c>
      <c r="M13" s="110">
        <v>418.28</v>
      </c>
      <c r="N13" s="110">
        <v>1671.92</v>
      </c>
      <c r="O13" s="110">
        <v>14709.664000000001</v>
      </c>
    </row>
    <row r="14" spans="1:15" x14ac:dyDescent="0.25">
      <c r="A14" s="115">
        <v>1950</v>
      </c>
      <c r="B14" s="110">
        <v>5781.23</v>
      </c>
      <c r="C14" s="110">
        <v>3545.7750000000001</v>
      </c>
      <c r="D14" s="110">
        <v>3942.5509999999999</v>
      </c>
      <c r="E14" s="110">
        <v>13270.548000000001</v>
      </c>
      <c r="F14" s="110">
        <v>69.396000000000001</v>
      </c>
      <c r="G14" s="110" t="s">
        <v>450</v>
      </c>
      <c r="H14" s="110" t="s">
        <v>450</v>
      </c>
      <c r="I14" s="110" t="s">
        <v>450</v>
      </c>
      <c r="J14" s="110">
        <v>532.23699999999997</v>
      </c>
      <c r="K14" s="110">
        <v>601.63300000000004</v>
      </c>
      <c r="L14" s="110">
        <v>13872.181</v>
      </c>
      <c r="M14" s="110">
        <v>499.78500000000003</v>
      </c>
      <c r="N14" s="110">
        <v>1852.011</v>
      </c>
      <c r="O14" s="110">
        <v>16223.977999999999</v>
      </c>
    </row>
    <row r="15" spans="1:15" x14ac:dyDescent="0.25">
      <c r="A15" s="115">
        <v>1951</v>
      </c>
      <c r="B15" s="110">
        <v>6202.0330000000004</v>
      </c>
      <c r="C15" s="110">
        <v>4051.75</v>
      </c>
      <c r="D15" s="110">
        <v>4258.3779999999997</v>
      </c>
      <c r="E15" s="110">
        <v>14490.709000000001</v>
      </c>
      <c r="F15" s="110">
        <v>63.097000000000001</v>
      </c>
      <c r="G15" s="110" t="s">
        <v>450</v>
      </c>
      <c r="H15" s="110" t="s">
        <v>450</v>
      </c>
      <c r="I15" s="110" t="s">
        <v>450</v>
      </c>
      <c r="J15" s="110">
        <v>552.928</v>
      </c>
      <c r="K15" s="110">
        <v>616.02499999999998</v>
      </c>
      <c r="L15" s="110">
        <v>15106.734</v>
      </c>
      <c r="M15" s="110">
        <v>566.96500000000003</v>
      </c>
      <c r="N15" s="110">
        <v>1984.1980000000001</v>
      </c>
      <c r="O15" s="110">
        <v>17657.898000000001</v>
      </c>
    </row>
    <row r="16" spans="1:15" x14ac:dyDescent="0.25">
      <c r="A16" s="115">
        <v>1952</v>
      </c>
      <c r="B16" s="110">
        <v>5516.6139999999996</v>
      </c>
      <c r="C16" s="110">
        <v>4180.7389999999996</v>
      </c>
      <c r="D16" s="110">
        <v>4350.8289999999997</v>
      </c>
      <c r="E16" s="110">
        <v>14036.303</v>
      </c>
      <c r="F16" s="110">
        <v>61.537999999999997</v>
      </c>
      <c r="G16" s="110" t="s">
        <v>450</v>
      </c>
      <c r="H16" s="110" t="s">
        <v>450</v>
      </c>
      <c r="I16" s="110" t="s">
        <v>450</v>
      </c>
      <c r="J16" s="110">
        <v>551.65599999999995</v>
      </c>
      <c r="K16" s="110">
        <v>613.19399999999996</v>
      </c>
      <c r="L16" s="110">
        <v>14649.496999999999</v>
      </c>
      <c r="M16" s="110">
        <v>600.947</v>
      </c>
      <c r="N16" s="110">
        <v>2038.8510000000001</v>
      </c>
      <c r="O16" s="110">
        <v>17289.294999999998</v>
      </c>
    </row>
    <row r="17" spans="1:15" x14ac:dyDescent="0.25">
      <c r="A17" s="115">
        <v>1953</v>
      </c>
      <c r="B17" s="110">
        <v>5931.0420000000004</v>
      </c>
      <c r="C17" s="110">
        <v>4304.08</v>
      </c>
      <c r="D17" s="110">
        <v>4466.5039999999999</v>
      </c>
      <c r="E17" s="110">
        <v>14692.624</v>
      </c>
      <c r="F17" s="110">
        <v>56.506</v>
      </c>
      <c r="G17" s="110" t="s">
        <v>450</v>
      </c>
      <c r="H17" s="110" t="s">
        <v>450</v>
      </c>
      <c r="I17" s="110" t="s">
        <v>450</v>
      </c>
      <c r="J17" s="110">
        <v>565.89700000000005</v>
      </c>
      <c r="K17" s="110">
        <v>622.40300000000002</v>
      </c>
      <c r="L17" s="110">
        <v>15315.027</v>
      </c>
      <c r="M17" s="110">
        <v>677.68499999999995</v>
      </c>
      <c r="N17" s="110">
        <v>2194.864</v>
      </c>
      <c r="O17" s="110">
        <v>18187.575000000001</v>
      </c>
    </row>
    <row r="18" spans="1:15" x14ac:dyDescent="0.25">
      <c r="A18" s="115">
        <v>1954</v>
      </c>
      <c r="B18" s="110">
        <v>4729.5590000000002</v>
      </c>
      <c r="C18" s="110">
        <v>4319.2479999999996</v>
      </c>
      <c r="D18" s="110">
        <v>4617.0020000000004</v>
      </c>
      <c r="E18" s="110">
        <v>13659.063</v>
      </c>
      <c r="F18" s="110">
        <v>55.677999999999997</v>
      </c>
      <c r="G18" s="110" t="s">
        <v>450</v>
      </c>
      <c r="H18" s="110" t="s">
        <v>450</v>
      </c>
      <c r="I18" s="110" t="s">
        <v>450</v>
      </c>
      <c r="J18" s="110">
        <v>576.20000000000005</v>
      </c>
      <c r="K18" s="110">
        <v>631.87800000000004</v>
      </c>
      <c r="L18" s="110">
        <v>14290.941000000001</v>
      </c>
      <c r="M18" s="110">
        <v>711.28200000000004</v>
      </c>
      <c r="N18" s="110">
        <v>2129.3029999999999</v>
      </c>
      <c r="O18" s="110">
        <v>17131.525000000001</v>
      </c>
    </row>
    <row r="19" spans="1:15" x14ac:dyDescent="0.25">
      <c r="A19" s="115">
        <v>1955</v>
      </c>
      <c r="B19" s="110">
        <v>5619.5590000000002</v>
      </c>
      <c r="C19" s="110">
        <v>4700.9290000000001</v>
      </c>
      <c r="D19" s="110">
        <v>5093.2129999999997</v>
      </c>
      <c r="E19" s="110">
        <v>15403.656000000001</v>
      </c>
      <c r="F19" s="110">
        <v>38.149000000000001</v>
      </c>
      <c r="G19" s="110" t="s">
        <v>450</v>
      </c>
      <c r="H19" s="110" t="s">
        <v>450</v>
      </c>
      <c r="I19" s="110" t="s">
        <v>450</v>
      </c>
      <c r="J19" s="110">
        <v>631.13699999999994</v>
      </c>
      <c r="K19" s="110">
        <v>669.28599999999994</v>
      </c>
      <c r="L19" s="110">
        <v>16072.941999999999</v>
      </c>
      <c r="M19" s="110">
        <v>887.03300000000002</v>
      </c>
      <c r="N19" s="110">
        <v>2494.5949999999998</v>
      </c>
      <c r="O19" s="110">
        <v>19454.57</v>
      </c>
    </row>
    <row r="20" spans="1:15" x14ac:dyDescent="0.25">
      <c r="A20" s="115">
        <v>1956</v>
      </c>
      <c r="B20" s="110">
        <v>5666.866</v>
      </c>
      <c r="C20" s="110">
        <v>4873.9669999999996</v>
      </c>
      <c r="D20" s="110">
        <v>5316.7269999999999</v>
      </c>
      <c r="E20" s="110">
        <v>15844.54</v>
      </c>
      <c r="F20" s="110">
        <v>36.750999999999998</v>
      </c>
      <c r="G20" s="110" t="s">
        <v>450</v>
      </c>
      <c r="H20" s="110" t="s">
        <v>450</v>
      </c>
      <c r="I20" s="110" t="s">
        <v>450</v>
      </c>
      <c r="J20" s="110">
        <v>661.40899999999999</v>
      </c>
      <c r="K20" s="110">
        <v>698.16</v>
      </c>
      <c r="L20" s="110">
        <v>16542.7</v>
      </c>
      <c r="M20" s="110">
        <v>975.65300000000002</v>
      </c>
      <c r="N20" s="110">
        <v>2658.2530000000002</v>
      </c>
      <c r="O20" s="110">
        <v>20176.606</v>
      </c>
    </row>
    <row r="21" spans="1:15" x14ac:dyDescent="0.25">
      <c r="A21" s="115">
        <v>1957</v>
      </c>
      <c r="B21" s="110">
        <v>5535.6409999999996</v>
      </c>
      <c r="C21" s="110">
        <v>5107.2879999999996</v>
      </c>
      <c r="D21" s="110">
        <v>5215.308</v>
      </c>
      <c r="E21" s="110">
        <v>15840.778</v>
      </c>
      <c r="F21" s="110">
        <v>35.521000000000001</v>
      </c>
      <c r="G21" s="110" t="s">
        <v>450</v>
      </c>
      <c r="H21" s="110" t="s">
        <v>450</v>
      </c>
      <c r="I21" s="110" t="s">
        <v>450</v>
      </c>
      <c r="J21" s="110">
        <v>616.43100000000004</v>
      </c>
      <c r="K21" s="110">
        <v>651.952</v>
      </c>
      <c r="L21" s="110">
        <v>16492.73</v>
      </c>
      <c r="M21" s="110">
        <v>1003.093</v>
      </c>
      <c r="N21" s="110">
        <v>2688.7710000000002</v>
      </c>
      <c r="O21" s="110">
        <v>20184.594000000001</v>
      </c>
    </row>
    <row r="22" spans="1:15" x14ac:dyDescent="0.25">
      <c r="A22" s="115">
        <v>1958</v>
      </c>
      <c r="B22" s="110">
        <v>4532.7520000000004</v>
      </c>
      <c r="C22" s="110">
        <v>5207.6120000000001</v>
      </c>
      <c r="D22" s="110">
        <v>5385.8879999999999</v>
      </c>
      <c r="E22" s="110">
        <v>15119.531000000001</v>
      </c>
      <c r="F22" s="110">
        <v>37.161999999999999</v>
      </c>
      <c r="G22" s="110" t="s">
        <v>450</v>
      </c>
      <c r="H22" s="110" t="s">
        <v>450</v>
      </c>
      <c r="I22" s="110" t="s">
        <v>450</v>
      </c>
      <c r="J22" s="110">
        <v>619.64700000000005</v>
      </c>
      <c r="K22" s="110">
        <v>656.80899999999997</v>
      </c>
      <c r="L22" s="110">
        <v>15776.34</v>
      </c>
      <c r="M22" s="110">
        <v>977.70799999999997</v>
      </c>
      <c r="N22" s="110">
        <v>2530.8780000000002</v>
      </c>
      <c r="O22" s="110">
        <v>19284.925999999999</v>
      </c>
    </row>
    <row r="23" spans="1:15" x14ac:dyDescent="0.25">
      <c r="A23" s="115">
        <v>1959</v>
      </c>
      <c r="B23" s="110">
        <v>4412.7430000000004</v>
      </c>
      <c r="C23" s="110">
        <v>5646.5630000000001</v>
      </c>
      <c r="D23" s="110">
        <v>5713.0010000000002</v>
      </c>
      <c r="E23" s="110">
        <v>15763.949000000001</v>
      </c>
      <c r="F23" s="110">
        <v>37.003</v>
      </c>
      <c r="G23" s="110" t="s">
        <v>450</v>
      </c>
      <c r="H23" s="110" t="s">
        <v>450</v>
      </c>
      <c r="I23" s="110" t="s">
        <v>450</v>
      </c>
      <c r="J23" s="110">
        <v>691.97299999999996</v>
      </c>
      <c r="K23" s="110">
        <v>728.976</v>
      </c>
      <c r="L23" s="110">
        <v>16492.924999999999</v>
      </c>
      <c r="M23" s="110">
        <v>1075.239</v>
      </c>
      <c r="N23" s="110">
        <v>2721.7890000000002</v>
      </c>
      <c r="O23" s="110">
        <v>20289.953000000001</v>
      </c>
    </row>
    <row r="24" spans="1:15" x14ac:dyDescent="0.25">
      <c r="A24" s="115">
        <v>1960</v>
      </c>
      <c r="B24" s="110">
        <v>4543.268</v>
      </c>
      <c r="C24" s="110">
        <v>5973.3069999999998</v>
      </c>
      <c r="D24" s="110">
        <v>5719.6570000000002</v>
      </c>
      <c r="E24" s="110">
        <v>16230.602000000001</v>
      </c>
      <c r="F24" s="110">
        <v>38.808</v>
      </c>
      <c r="G24" s="110" t="s">
        <v>450</v>
      </c>
      <c r="H24" s="110" t="s">
        <v>450</v>
      </c>
      <c r="I24" s="110" t="s">
        <v>450</v>
      </c>
      <c r="J24" s="110">
        <v>679.86400000000003</v>
      </c>
      <c r="K24" s="110">
        <v>718.67200000000003</v>
      </c>
      <c r="L24" s="110">
        <v>16949.274000000001</v>
      </c>
      <c r="M24" s="110">
        <v>1106.8589999999999</v>
      </c>
      <c r="N24" s="110">
        <v>2739.3040000000001</v>
      </c>
      <c r="O24" s="110">
        <v>20795.437000000002</v>
      </c>
    </row>
    <row r="25" spans="1:15" x14ac:dyDescent="0.25">
      <c r="A25" s="115">
        <v>1961</v>
      </c>
      <c r="B25" s="110">
        <v>4345.1409999999996</v>
      </c>
      <c r="C25" s="110">
        <v>6169.7560000000003</v>
      </c>
      <c r="D25" s="110">
        <v>5726.1940000000004</v>
      </c>
      <c r="E25" s="110">
        <v>16233.205</v>
      </c>
      <c r="F25" s="110">
        <v>35.835999999999999</v>
      </c>
      <c r="G25" s="110" t="s">
        <v>450</v>
      </c>
      <c r="H25" s="110" t="s">
        <v>450</v>
      </c>
      <c r="I25" s="110" t="s">
        <v>450</v>
      </c>
      <c r="J25" s="110">
        <v>695.41300000000001</v>
      </c>
      <c r="K25" s="110">
        <v>731.24900000000002</v>
      </c>
      <c r="L25" s="110">
        <v>16964.454000000002</v>
      </c>
      <c r="M25" s="110">
        <v>1149.25</v>
      </c>
      <c r="N25" s="110">
        <v>2793.8270000000002</v>
      </c>
      <c r="O25" s="110">
        <v>20907.530999999999</v>
      </c>
    </row>
    <row r="26" spans="1:15" x14ac:dyDescent="0.25">
      <c r="A26" s="115">
        <v>1962</v>
      </c>
      <c r="B26" s="110">
        <v>4384.5450000000001</v>
      </c>
      <c r="C26" s="110">
        <v>6450.96</v>
      </c>
      <c r="D26" s="110">
        <v>5964.3270000000002</v>
      </c>
      <c r="E26" s="110">
        <v>16794.326000000001</v>
      </c>
      <c r="F26" s="110">
        <v>35.99</v>
      </c>
      <c r="G26" s="110" t="s">
        <v>450</v>
      </c>
      <c r="H26" s="110" t="s">
        <v>450</v>
      </c>
      <c r="I26" s="110" t="s">
        <v>450</v>
      </c>
      <c r="J26" s="110">
        <v>728.17899999999997</v>
      </c>
      <c r="K26" s="110">
        <v>764.16899999999998</v>
      </c>
      <c r="L26" s="110">
        <v>17558.494999999999</v>
      </c>
      <c r="M26" s="110">
        <v>1227.8209999999999</v>
      </c>
      <c r="N26" s="110">
        <v>2949.893</v>
      </c>
      <c r="O26" s="110">
        <v>21736.21</v>
      </c>
    </row>
    <row r="27" spans="1:15" x14ac:dyDescent="0.25">
      <c r="A27" s="115">
        <v>1963</v>
      </c>
      <c r="B27" s="110">
        <v>4589.8490000000002</v>
      </c>
      <c r="C27" s="110">
        <v>6748.0690000000004</v>
      </c>
      <c r="D27" s="110">
        <v>6192.674</v>
      </c>
      <c r="E27" s="110">
        <v>17523.202000000001</v>
      </c>
      <c r="F27" s="110">
        <v>33.914000000000001</v>
      </c>
      <c r="G27" s="110" t="s">
        <v>450</v>
      </c>
      <c r="H27" s="110" t="s">
        <v>450</v>
      </c>
      <c r="I27" s="110" t="s">
        <v>450</v>
      </c>
      <c r="J27" s="110">
        <v>774.84299999999996</v>
      </c>
      <c r="K27" s="110">
        <v>808.75699999999995</v>
      </c>
      <c r="L27" s="110">
        <v>18331.958999999999</v>
      </c>
      <c r="M27" s="110">
        <v>1287.79</v>
      </c>
      <c r="N27" s="110">
        <v>3075.2460000000001</v>
      </c>
      <c r="O27" s="110">
        <v>22694.993999999999</v>
      </c>
    </row>
    <row r="28" spans="1:15" x14ac:dyDescent="0.25">
      <c r="A28" s="115">
        <v>1964</v>
      </c>
      <c r="B28" s="110">
        <v>4914.6030000000001</v>
      </c>
      <c r="C28" s="110">
        <v>7113.92</v>
      </c>
      <c r="D28" s="110">
        <v>6510.75</v>
      </c>
      <c r="E28" s="110">
        <v>18528.831999999999</v>
      </c>
      <c r="F28" s="110">
        <v>33.771999999999998</v>
      </c>
      <c r="G28" s="110" t="s">
        <v>450</v>
      </c>
      <c r="H28" s="110" t="s">
        <v>450</v>
      </c>
      <c r="I28" s="110" t="s">
        <v>450</v>
      </c>
      <c r="J28" s="110">
        <v>826.73500000000001</v>
      </c>
      <c r="K28" s="110">
        <v>860.50699999999995</v>
      </c>
      <c r="L28" s="110">
        <v>19389.339</v>
      </c>
      <c r="M28" s="110">
        <v>1382.027</v>
      </c>
      <c r="N28" s="110">
        <v>3279.9690000000001</v>
      </c>
      <c r="O28" s="110">
        <v>24051.334999999999</v>
      </c>
    </row>
    <row r="29" spans="1:15" x14ac:dyDescent="0.25">
      <c r="A29" s="115">
        <v>1965</v>
      </c>
      <c r="B29" s="110">
        <v>5126.5069999999996</v>
      </c>
      <c r="C29" s="110">
        <v>7339.2139999999999</v>
      </c>
      <c r="D29" s="110">
        <v>6750.2020000000002</v>
      </c>
      <c r="E29" s="110">
        <v>19197.471000000001</v>
      </c>
      <c r="F29" s="110">
        <v>32.756999999999998</v>
      </c>
      <c r="G29" s="110" t="s">
        <v>450</v>
      </c>
      <c r="H29" s="110" t="s">
        <v>450</v>
      </c>
      <c r="I29" s="110" t="s">
        <v>450</v>
      </c>
      <c r="J29" s="110">
        <v>854.94299999999998</v>
      </c>
      <c r="K29" s="110">
        <v>887.7</v>
      </c>
      <c r="L29" s="110">
        <v>20085.170999999998</v>
      </c>
      <c r="M29" s="110">
        <v>1462.817</v>
      </c>
      <c r="N29" s="110">
        <v>3487.1680000000001</v>
      </c>
      <c r="O29" s="110">
        <v>25035.155999999999</v>
      </c>
    </row>
    <row r="30" spans="1:15" x14ac:dyDescent="0.25">
      <c r="A30" s="115">
        <v>1966</v>
      </c>
      <c r="B30" s="110">
        <v>5214.973</v>
      </c>
      <c r="C30" s="110">
        <v>7795.1229999999996</v>
      </c>
      <c r="D30" s="110">
        <v>7068.942</v>
      </c>
      <c r="E30" s="110">
        <v>20054.09</v>
      </c>
      <c r="F30" s="110">
        <v>33.137999999999998</v>
      </c>
      <c r="G30" s="110" t="s">
        <v>450</v>
      </c>
      <c r="H30" s="110" t="s">
        <v>450</v>
      </c>
      <c r="I30" s="110" t="s">
        <v>450</v>
      </c>
      <c r="J30" s="110">
        <v>901.91600000000005</v>
      </c>
      <c r="K30" s="110">
        <v>935.05399999999997</v>
      </c>
      <c r="L30" s="110">
        <v>20989.144</v>
      </c>
      <c r="M30" s="110">
        <v>1581.8150000000001</v>
      </c>
      <c r="N30" s="110">
        <v>3784.7759999999998</v>
      </c>
      <c r="O30" s="110">
        <v>26355.735000000001</v>
      </c>
    </row>
    <row r="31" spans="1:15" x14ac:dyDescent="0.25">
      <c r="A31" s="115">
        <v>1967</v>
      </c>
      <c r="B31" s="110">
        <v>4933.6310000000003</v>
      </c>
      <c r="C31" s="110">
        <v>8043.3890000000001</v>
      </c>
      <c r="D31" s="110">
        <v>7110.31</v>
      </c>
      <c r="E31" s="110">
        <v>20072.003000000001</v>
      </c>
      <c r="F31" s="110">
        <v>35.786999999999999</v>
      </c>
      <c r="G31" s="110" t="s">
        <v>450</v>
      </c>
      <c r="H31" s="110" t="s">
        <v>450</v>
      </c>
      <c r="I31" s="110" t="s">
        <v>450</v>
      </c>
      <c r="J31" s="110">
        <v>894.65800000000002</v>
      </c>
      <c r="K31" s="110">
        <v>930.44500000000005</v>
      </c>
      <c r="L31" s="110">
        <v>21002.448</v>
      </c>
      <c r="M31" s="110">
        <v>1654.8720000000001</v>
      </c>
      <c r="N31" s="110">
        <v>3946.482</v>
      </c>
      <c r="O31" s="110">
        <v>26603.802</v>
      </c>
    </row>
    <row r="32" spans="1:15" x14ac:dyDescent="0.25">
      <c r="A32" s="115">
        <v>1968</v>
      </c>
      <c r="B32" s="110">
        <v>4854.7629999999999</v>
      </c>
      <c r="C32" s="110">
        <v>8626.4779999999992</v>
      </c>
      <c r="D32" s="110">
        <v>7374.05</v>
      </c>
      <c r="E32" s="110">
        <v>20837.98</v>
      </c>
      <c r="F32" s="110">
        <v>35.171999999999997</v>
      </c>
      <c r="G32" s="110" t="s">
        <v>450</v>
      </c>
      <c r="H32" s="110" t="s">
        <v>450</v>
      </c>
      <c r="I32" s="110" t="s">
        <v>450</v>
      </c>
      <c r="J32" s="110">
        <v>981.94799999999998</v>
      </c>
      <c r="K32" s="110">
        <v>1017.12</v>
      </c>
      <c r="L32" s="110">
        <v>21855.1</v>
      </c>
      <c r="M32" s="110">
        <v>1778.105</v>
      </c>
      <c r="N32" s="110">
        <v>4236.0810000000001</v>
      </c>
      <c r="O32" s="110">
        <v>27869.286</v>
      </c>
    </row>
    <row r="33" spans="1:15" x14ac:dyDescent="0.25">
      <c r="A33" s="115">
        <v>1969</v>
      </c>
      <c r="B33" s="110">
        <v>4712.0379999999996</v>
      </c>
      <c r="C33" s="110">
        <v>9233.7900000000009</v>
      </c>
      <c r="D33" s="110">
        <v>7670.7969999999996</v>
      </c>
      <c r="E33" s="110">
        <v>21580.514999999999</v>
      </c>
      <c r="F33" s="110">
        <v>34.22</v>
      </c>
      <c r="G33" s="110" t="s">
        <v>450</v>
      </c>
      <c r="H33" s="110" t="s">
        <v>450</v>
      </c>
      <c r="I33" s="110" t="s">
        <v>450</v>
      </c>
      <c r="J33" s="110">
        <v>1014.232</v>
      </c>
      <c r="K33" s="110">
        <v>1048.452</v>
      </c>
      <c r="L33" s="110">
        <v>22628.967000000001</v>
      </c>
      <c r="M33" s="110">
        <v>1908.623</v>
      </c>
      <c r="N33" s="110">
        <v>4549.0749999999998</v>
      </c>
      <c r="O33" s="110">
        <v>29086.665000000001</v>
      </c>
    </row>
    <row r="34" spans="1:15" x14ac:dyDescent="0.25">
      <c r="A34" s="115">
        <v>1970</v>
      </c>
      <c r="B34" s="110">
        <v>4656.2020000000002</v>
      </c>
      <c r="C34" s="110">
        <v>9536.15</v>
      </c>
      <c r="D34" s="110">
        <v>7753.8040000000001</v>
      </c>
      <c r="E34" s="110">
        <v>21888.495999999999</v>
      </c>
      <c r="F34" s="110">
        <v>34.04</v>
      </c>
      <c r="G34" s="110" t="s">
        <v>450</v>
      </c>
      <c r="H34" s="110" t="s">
        <v>450</v>
      </c>
      <c r="I34" s="110" t="s">
        <v>450</v>
      </c>
      <c r="J34" s="110">
        <v>1018.9109999999999</v>
      </c>
      <c r="K34" s="110">
        <v>1052.951</v>
      </c>
      <c r="L34" s="110">
        <v>22941.447</v>
      </c>
      <c r="M34" s="110">
        <v>1947.7550000000001</v>
      </c>
      <c r="N34" s="110">
        <v>4716.2460000000001</v>
      </c>
      <c r="O34" s="110">
        <v>29605.448</v>
      </c>
    </row>
    <row r="35" spans="1:15" x14ac:dyDescent="0.25">
      <c r="A35" s="115">
        <v>1971</v>
      </c>
      <c r="B35" s="110">
        <v>3943.9</v>
      </c>
      <c r="C35" s="110">
        <v>9891.5959999999995</v>
      </c>
      <c r="D35" s="110">
        <v>7820.1329999999998</v>
      </c>
      <c r="E35" s="110">
        <v>21622.522000000001</v>
      </c>
      <c r="F35" s="110">
        <v>33.746000000000002</v>
      </c>
      <c r="G35" s="110" t="s">
        <v>450</v>
      </c>
      <c r="H35" s="110" t="s">
        <v>450</v>
      </c>
      <c r="I35" s="110" t="s">
        <v>450</v>
      </c>
      <c r="J35" s="110">
        <v>1039.998</v>
      </c>
      <c r="K35" s="110">
        <v>1073.7439999999999</v>
      </c>
      <c r="L35" s="110">
        <v>22696.266</v>
      </c>
      <c r="M35" s="110">
        <v>2011.1969999999999</v>
      </c>
      <c r="N35" s="110">
        <v>4854.93</v>
      </c>
      <c r="O35" s="110">
        <v>29562.393</v>
      </c>
    </row>
    <row r="36" spans="1:15" x14ac:dyDescent="0.25">
      <c r="A36" s="115">
        <v>1972</v>
      </c>
      <c r="B36" s="110">
        <v>3993.4119999999998</v>
      </c>
      <c r="C36" s="110">
        <v>9884.277</v>
      </c>
      <c r="D36" s="110">
        <v>8488.81</v>
      </c>
      <c r="E36" s="110">
        <v>22340.534</v>
      </c>
      <c r="F36" s="110">
        <v>34.42</v>
      </c>
      <c r="G36" s="110" t="s">
        <v>450</v>
      </c>
      <c r="H36" s="110" t="s">
        <v>450</v>
      </c>
      <c r="I36" s="110" t="s">
        <v>450</v>
      </c>
      <c r="J36" s="110">
        <v>1112.6679999999999</v>
      </c>
      <c r="K36" s="110">
        <v>1147.088</v>
      </c>
      <c r="L36" s="110">
        <v>23487.621999999999</v>
      </c>
      <c r="M36" s="110">
        <v>2187.0169999999998</v>
      </c>
      <c r="N36" s="110">
        <v>5226.6679999999997</v>
      </c>
      <c r="O36" s="110">
        <v>30901.306</v>
      </c>
    </row>
    <row r="37" spans="1:15" x14ac:dyDescent="0.25">
      <c r="A37" s="115">
        <v>1973</v>
      </c>
      <c r="B37" s="110">
        <v>4056.7310000000002</v>
      </c>
      <c r="C37" s="110">
        <v>10388.281999999999</v>
      </c>
      <c r="D37" s="110">
        <v>9050.8150000000005</v>
      </c>
      <c r="E37" s="110">
        <v>23488.364000000001</v>
      </c>
      <c r="F37" s="110">
        <v>34.773000000000003</v>
      </c>
      <c r="G37" s="110" t="s">
        <v>450</v>
      </c>
      <c r="H37" s="110" t="s">
        <v>450</v>
      </c>
      <c r="I37" s="110" t="s">
        <v>450</v>
      </c>
      <c r="J37" s="110">
        <v>1164.8530000000001</v>
      </c>
      <c r="K37" s="110">
        <v>1199.626</v>
      </c>
      <c r="L37" s="110">
        <v>24687.99</v>
      </c>
      <c r="M37" s="110">
        <v>2340.9229999999998</v>
      </c>
      <c r="N37" s="110">
        <v>5561.9470000000001</v>
      </c>
      <c r="O37" s="110">
        <v>32590.859</v>
      </c>
    </row>
    <row r="38" spans="1:15" x14ac:dyDescent="0.25">
      <c r="A38" s="115">
        <v>1974</v>
      </c>
      <c r="B38" s="110">
        <v>3870.1950000000002</v>
      </c>
      <c r="C38" s="110">
        <v>10003.628000000001</v>
      </c>
      <c r="D38" s="110">
        <v>8639.6890000000003</v>
      </c>
      <c r="E38" s="110">
        <v>22569.609</v>
      </c>
      <c r="F38" s="110">
        <v>33.201999999999998</v>
      </c>
      <c r="G38" s="110" t="s">
        <v>450</v>
      </c>
      <c r="H38" s="110" t="s">
        <v>450</v>
      </c>
      <c r="I38" s="110" t="s">
        <v>450</v>
      </c>
      <c r="J38" s="110">
        <v>1159.0740000000001</v>
      </c>
      <c r="K38" s="110">
        <v>1192.2760000000001</v>
      </c>
      <c r="L38" s="110">
        <v>23761.884999999998</v>
      </c>
      <c r="M38" s="110">
        <v>2336.7939999999999</v>
      </c>
      <c r="N38" s="110">
        <v>5654.54</v>
      </c>
      <c r="O38" s="110">
        <v>31753.219000000001</v>
      </c>
    </row>
    <row r="39" spans="1:15" x14ac:dyDescent="0.25">
      <c r="A39" s="115">
        <v>1975</v>
      </c>
      <c r="B39" s="110">
        <v>3666.8829999999998</v>
      </c>
      <c r="C39" s="110">
        <v>8531.8349999999991</v>
      </c>
      <c r="D39" s="110">
        <v>8092.0810000000001</v>
      </c>
      <c r="E39" s="110">
        <v>20304.34</v>
      </c>
      <c r="F39" s="110">
        <v>32.320999999999998</v>
      </c>
      <c r="G39" s="110" t="s">
        <v>450</v>
      </c>
      <c r="H39" s="110" t="s">
        <v>450</v>
      </c>
      <c r="I39" s="110" t="s">
        <v>450</v>
      </c>
      <c r="J39" s="110">
        <v>1063.27</v>
      </c>
      <c r="K39" s="110">
        <v>1095.5909999999999</v>
      </c>
      <c r="L39" s="110">
        <v>21399.931</v>
      </c>
      <c r="M39" s="110">
        <v>2346.3629999999998</v>
      </c>
      <c r="N39" s="110">
        <v>5632.29</v>
      </c>
      <c r="O39" s="110">
        <v>29378.583999999999</v>
      </c>
    </row>
    <row r="40" spans="1:15" x14ac:dyDescent="0.25">
      <c r="A40" s="115">
        <v>1976</v>
      </c>
      <c r="B40" s="110">
        <v>3660.5189999999998</v>
      </c>
      <c r="C40" s="110">
        <v>8761.5709999999999</v>
      </c>
      <c r="D40" s="110">
        <v>8953.2009999999991</v>
      </c>
      <c r="E40" s="110">
        <v>21375.191999999999</v>
      </c>
      <c r="F40" s="110">
        <v>33.372</v>
      </c>
      <c r="G40" s="110" t="s">
        <v>450</v>
      </c>
      <c r="H40" s="110" t="s">
        <v>450</v>
      </c>
      <c r="I40" s="110" t="s">
        <v>450</v>
      </c>
      <c r="J40" s="110">
        <v>1219.876</v>
      </c>
      <c r="K40" s="110">
        <v>1253.248</v>
      </c>
      <c r="L40" s="110">
        <v>22628.44</v>
      </c>
      <c r="M40" s="110">
        <v>2572.8829999999998</v>
      </c>
      <c r="N40" s="110">
        <v>6154.7690000000002</v>
      </c>
      <c r="O40" s="110">
        <v>31356.092000000001</v>
      </c>
    </row>
    <row r="41" spans="1:15" x14ac:dyDescent="0.25">
      <c r="A41" s="115">
        <v>1977</v>
      </c>
      <c r="B41" s="110">
        <v>3454.3719999999998</v>
      </c>
      <c r="C41" s="110">
        <v>8635.4480000000003</v>
      </c>
      <c r="D41" s="110">
        <v>9704.7909999999993</v>
      </c>
      <c r="E41" s="110">
        <v>21809.192999999999</v>
      </c>
      <c r="F41" s="110">
        <v>32.600999999999999</v>
      </c>
      <c r="G41" s="110" t="s">
        <v>450</v>
      </c>
      <c r="H41" s="110" t="s">
        <v>450</v>
      </c>
      <c r="I41" s="110" t="s">
        <v>450</v>
      </c>
      <c r="J41" s="110">
        <v>1281.2449999999999</v>
      </c>
      <c r="K41" s="110">
        <v>1313.846</v>
      </c>
      <c r="L41" s="110">
        <v>23123.039000000001</v>
      </c>
      <c r="M41" s="110">
        <v>2681.9589999999998</v>
      </c>
      <c r="N41" s="110">
        <v>6415.7550000000001</v>
      </c>
      <c r="O41" s="110">
        <v>32220.752</v>
      </c>
    </row>
    <row r="42" spans="1:15" x14ac:dyDescent="0.25">
      <c r="A42" s="115">
        <v>1978</v>
      </c>
      <c r="B42" s="110">
        <v>3313.502</v>
      </c>
      <c r="C42" s="110">
        <v>8539.0249999999996</v>
      </c>
      <c r="D42" s="110">
        <v>9790.1849999999995</v>
      </c>
      <c r="E42" s="110">
        <v>21767.437999999998</v>
      </c>
      <c r="F42" s="110">
        <v>31.562999999999999</v>
      </c>
      <c r="G42" s="110" t="s">
        <v>450</v>
      </c>
      <c r="H42" s="110" t="s">
        <v>450</v>
      </c>
      <c r="I42" s="110" t="s">
        <v>450</v>
      </c>
      <c r="J42" s="110">
        <v>1400.424</v>
      </c>
      <c r="K42" s="110">
        <v>1431.9870000000001</v>
      </c>
      <c r="L42" s="110">
        <v>23199.424999999999</v>
      </c>
      <c r="M42" s="110">
        <v>2760.5740000000001</v>
      </c>
      <c r="N42" s="110">
        <v>6682.9560000000001</v>
      </c>
      <c r="O42" s="110">
        <v>32642.955000000002</v>
      </c>
    </row>
    <row r="43" spans="1:15" x14ac:dyDescent="0.25">
      <c r="A43" s="115">
        <v>1979</v>
      </c>
      <c r="B43" s="110">
        <v>3592.9160000000002</v>
      </c>
      <c r="C43" s="110">
        <v>8549.1110000000008</v>
      </c>
      <c r="D43" s="110">
        <v>10500.596</v>
      </c>
      <c r="E43" s="110">
        <v>22705.468000000001</v>
      </c>
      <c r="F43" s="110">
        <v>34.094000000000001</v>
      </c>
      <c r="G43" s="110" t="s">
        <v>450</v>
      </c>
      <c r="H43" s="110" t="s">
        <v>450</v>
      </c>
      <c r="I43" s="110" t="s">
        <v>450</v>
      </c>
      <c r="J43" s="110">
        <v>1404.8620000000001</v>
      </c>
      <c r="K43" s="110">
        <v>1438.9559999999999</v>
      </c>
      <c r="L43" s="110">
        <v>24144.423999999999</v>
      </c>
      <c r="M43" s="110">
        <v>2872.5729999999999</v>
      </c>
      <c r="N43" s="110">
        <v>6860.3509999999997</v>
      </c>
      <c r="O43" s="110">
        <v>33877.347999999998</v>
      </c>
    </row>
    <row r="44" spans="1:15" x14ac:dyDescent="0.25">
      <c r="A44" s="115">
        <v>1980</v>
      </c>
      <c r="B44" s="110">
        <v>3155.0140000000001</v>
      </c>
      <c r="C44" s="110">
        <v>8332.5310000000009</v>
      </c>
      <c r="D44" s="110">
        <v>9463.3770000000004</v>
      </c>
      <c r="E44" s="110">
        <v>20915.893</v>
      </c>
      <c r="F44" s="110">
        <v>32.838000000000001</v>
      </c>
      <c r="G44" s="110" t="s">
        <v>450</v>
      </c>
      <c r="H44" s="110" t="s">
        <v>450</v>
      </c>
      <c r="I44" s="110" t="s">
        <v>450</v>
      </c>
      <c r="J44" s="110">
        <v>1600</v>
      </c>
      <c r="K44" s="110">
        <v>1632.838</v>
      </c>
      <c r="L44" s="110">
        <v>22548.731</v>
      </c>
      <c r="M44" s="110">
        <v>2781.009</v>
      </c>
      <c r="N44" s="110">
        <v>6663.5820000000003</v>
      </c>
      <c r="O44" s="110">
        <v>31993.321</v>
      </c>
    </row>
    <row r="45" spans="1:15" x14ac:dyDescent="0.25">
      <c r="A45" s="115">
        <v>1981</v>
      </c>
      <c r="B45" s="110">
        <v>3156.9250000000002</v>
      </c>
      <c r="C45" s="110">
        <v>8184.5410000000002</v>
      </c>
      <c r="D45" s="110">
        <v>8215.8019999999997</v>
      </c>
      <c r="E45" s="110">
        <v>19541.319</v>
      </c>
      <c r="F45" s="110">
        <v>33.042999999999999</v>
      </c>
      <c r="G45" s="110" t="s">
        <v>450</v>
      </c>
      <c r="H45" s="110" t="s">
        <v>450</v>
      </c>
      <c r="I45" s="110" t="s">
        <v>450</v>
      </c>
      <c r="J45" s="110">
        <v>1694.665</v>
      </c>
      <c r="K45" s="110">
        <v>1727.7080000000001</v>
      </c>
      <c r="L45" s="110">
        <v>21269.026999999998</v>
      </c>
      <c r="M45" s="110">
        <v>2817.4369999999999</v>
      </c>
      <c r="N45" s="110">
        <v>6575.9610000000002</v>
      </c>
      <c r="O45" s="110">
        <v>30662.424999999999</v>
      </c>
    </row>
    <row r="46" spans="1:15" x14ac:dyDescent="0.25">
      <c r="A46" s="115">
        <v>1982</v>
      </c>
      <c r="B46" s="110">
        <v>2551.9830000000002</v>
      </c>
      <c r="C46" s="110">
        <v>7067.8559999999998</v>
      </c>
      <c r="D46" s="110">
        <v>7718.3810000000003</v>
      </c>
      <c r="E46" s="110">
        <v>17316.563999999998</v>
      </c>
      <c r="F46" s="110">
        <v>33.045999999999999</v>
      </c>
      <c r="G46" s="110" t="s">
        <v>450</v>
      </c>
      <c r="H46" s="110" t="s">
        <v>450</v>
      </c>
      <c r="I46" s="110" t="s">
        <v>450</v>
      </c>
      <c r="J46" s="110">
        <v>1649.682</v>
      </c>
      <c r="K46" s="110">
        <v>1682.729</v>
      </c>
      <c r="L46" s="110">
        <v>18999.293000000001</v>
      </c>
      <c r="M46" s="110">
        <v>2541.7660000000001</v>
      </c>
      <c r="N46" s="110">
        <v>6019.9129999999996</v>
      </c>
      <c r="O46" s="110">
        <v>27560.972000000002</v>
      </c>
    </row>
    <row r="47" spans="1:15" x14ac:dyDescent="0.25">
      <c r="A47" s="115">
        <v>1983</v>
      </c>
      <c r="B47" s="110">
        <v>2489.5630000000001</v>
      </c>
      <c r="C47" s="110">
        <v>6776.2730000000001</v>
      </c>
      <c r="D47" s="110">
        <v>7334.2110000000002</v>
      </c>
      <c r="E47" s="110">
        <v>16584.41</v>
      </c>
      <c r="F47" s="110">
        <v>33.255000000000003</v>
      </c>
      <c r="G47" s="110" t="s">
        <v>450</v>
      </c>
      <c r="H47" s="110" t="s">
        <v>450</v>
      </c>
      <c r="I47" s="110" t="s">
        <v>450</v>
      </c>
      <c r="J47" s="110">
        <v>1874.4349999999999</v>
      </c>
      <c r="K47" s="110">
        <v>1907.69</v>
      </c>
      <c r="L47" s="110">
        <v>18492.099999999999</v>
      </c>
      <c r="M47" s="110">
        <v>2647.71</v>
      </c>
      <c r="N47" s="110">
        <v>6232.1509999999998</v>
      </c>
      <c r="O47" s="110">
        <v>27371.96</v>
      </c>
    </row>
    <row r="48" spans="1:15" x14ac:dyDescent="0.25">
      <c r="A48" s="115">
        <v>1984</v>
      </c>
      <c r="B48" s="110">
        <v>2842.174</v>
      </c>
      <c r="C48" s="110">
        <v>7404.9949999999999</v>
      </c>
      <c r="D48" s="110">
        <v>7925.1540000000005</v>
      </c>
      <c r="E48" s="110">
        <v>18160.835999999999</v>
      </c>
      <c r="F48" s="110">
        <v>33.002000000000002</v>
      </c>
      <c r="G48" s="110" t="s">
        <v>450</v>
      </c>
      <c r="H48" s="110" t="s">
        <v>450</v>
      </c>
      <c r="I48" s="110" t="s">
        <v>450</v>
      </c>
      <c r="J48" s="110">
        <v>1918.2539999999999</v>
      </c>
      <c r="K48" s="110">
        <v>1951.2560000000001</v>
      </c>
      <c r="L48" s="110">
        <v>20112.092000000001</v>
      </c>
      <c r="M48" s="110">
        <v>2858.6970000000001</v>
      </c>
      <c r="N48" s="110">
        <v>6537.5659999999998</v>
      </c>
      <c r="O48" s="110">
        <v>29508.353999999999</v>
      </c>
    </row>
    <row r="49" spans="1:15" x14ac:dyDescent="0.25">
      <c r="A49" s="115">
        <v>1985</v>
      </c>
      <c r="B49" s="110">
        <v>2759.9270000000001</v>
      </c>
      <c r="C49" s="110">
        <v>7031.5969999999998</v>
      </c>
      <c r="D49" s="110">
        <v>7655.2979999999998</v>
      </c>
      <c r="E49" s="110">
        <v>17433.330000000002</v>
      </c>
      <c r="F49" s="110">
        <v>33.024000000000001</v>
      </c>
      <c r="G49" s="110" t="s">
        <v>450</v>
      </c>
      <c r="H49" s="110" t="s">
        <v>450</v>
      </c>
      <c r="I49" s="110" t="s">
        <v>450</v>
      </c>
      <c r="J49" s="110">
        <v>1917.674</v>
      </c>
      <c r="K49" s="110">
        <v>1950.6980000000001</v>
      </c>
      <c r="L49" s="110">
        <v>19384.027999999998</v>
      </c>
      <c r="M49" s="110">
        <v>2855.0659999999998</v>
      </c>
      <c r="N49" s="110">
        <v>6517.893</v>
      </c>
      <c r="O49" s="110">
        <v>28756.987000000001</v>
      </c>
    </row>
    <row r="50" spans="1:15" x14ac:dyDescent="0.25">
      <c r="A50" s="115">
        <v>1986</v>
      </c>
      <c r="B50" s="110">
        <v>2640.5039999999999</v>
      </c>
      <c r="C50" s="110">
        <v>6646.2619999999997</v>
      </c>
      <c r="D50" s="110">
        <v>7811.3379999999997</v>
      </c>
      <c r="E50" s="110">
        <v>17081.349999999999</v>
      </c>
      <c r="F50" s="110">
        <v>33.021000000000001</v>
      </c>
      <c r="G50" s="110" t="s">
        <v>450</v>
      </c>
      <c r="H50" s="110" t="s">
        <v>450</v>
      </c>
      <c r="I50" s="110" t="s">
        <v>450</v>
      </c>
      <c r="J50" s="110">
        <v>1914.9010000000001</v>
      </c>
      <c r="K50" s="110">
        <v>1947.923</v>
      </c>
      <c r="L50" s="110">
        <v>19029.272000000001</v>
      </c>
      <c r="M50" s="110">
        <v>2833.77</v>
      </c>
      <c r="N50" s="110">
        <v>6361.8360000000002</v>
      </c>
      <c r="O50" s="110">
        <v>28224.879000000001</v>
      </c>
    </row>
    <row r="51" spans="1:15" x14ac:dyDescent="0.25">
      <c r="A51" s="115">
        <v>1987</v>
      </c>
      <c r="B51" s="110">
        <v>2672.9110000000001</v>
      </c>
      <c r="C51" s="110">
        <v>7282.8370000000004</v>
      </c>
      <c r="D51" s="110">
        <v>7995.0770000000002</v>
      </c>
      <c r="E51" s="110">
        <v>17959.455000000002</v>
      </c>
      <c r="F51" s="110">
        <v>32.936</v>
      </c>
      <c r="G51" s="110" t="s">
        <v>450</v>
      </c>
      <c r="H51" s="110" t="s">
        <v>450</v>
      </c>
      <c r="I51" s="110" t="s">
        <v>450</v>
      </c>
      <c r="J51" s="110">
        <v>1913.8810000000001</v>
      </c>
      <c r="K51" s="110">
        <v>1946.817</v>
      </c>
      <c r="L51" s="110">
        <v>19906.272000000001</v>
      </c>
      <c r="M51" s="110">
        <v>2928.2910000000002</v>
      </c>
      <c r="N51" s="110">
        <v>6497.4629999999997</v>
      </c>
      <c r="O51" s="110">
        <v>29332.026000000002</v>
      </c>
    </row>
    <row r="52" spans="1:15" x14ac:dyDescent="0.25">
      <c r="A52" s="115">
        <v>1988</v>
      </c>
      <c r="B52" s="110">
        <v>2827.5549999999998</v>
      </c>
      <c r="C52" s="110">
        <v>7655.4589999999998</v>
      </c>
      <c r="D52" s="110">
        <v>8266.8770000000004</v>
      </c>
      <c r="E52" s="110">
        <v>18789.442999999999</v>
      </c>
      <c r="F52" s="110">
        <v>32.634999999999998</v>
      </c>
      <c r="G52" s="110" t="s">
        <v>450</v>
      </c>
      <c r="H52" s="110" t="s">
        <v>450</v>
      </c>
      <c r="I52" s="110" t="s">
        <v>450</v>
      </c>
      <c r="J52" s="110">
        <v>1989.1020000000001</v>
      </c>
      <c r="K52" s="110">
        <v>2021.7380000000001</v>
      </c>
      <c r="L52" s="110">
        <v>20811.18</v>
      </c>
      <c r="M52" s="110">
        <v>3058.8519999999999</v>
      </c>
      <c r="N52" s="110">
        <v>6756.7420000000002</v>
      </c>
      <c r="O52" s="110">
        <v>30626.774000000001</v>
      </c>
    </row>
    <row r="53" spans="1:15" x14ac:dyDescent="0.25">
      <c r="A53" s="115">
        <v>1989</v>
      </c>
      <c r="B53" s="110">
        <v>2787.002</v>
      </c>
      <c r="C53" s="110">
        <v>8095.3969999999999</v>
      </c>
      <c r="D53" s="110">
        <v>8051.9620000000004</v>
      </c>
      <c r="E53" s="110">
        <v>18964.764999999999</v>
      </c>
      <c r="F53" s="110">
        <v>28.396000000000001</v>
      </c>
      <c r="G53" s="110">
        <v>1.8</v>
      </c>
      <c r="H53" s="110">
        <v>3.5999999999999997E-2</v>
      </c>
      <c r="I53" s="110" t="s">
        <v>451</v>
      </c>
      <c r="J53" s="110">
        <v>1840.751</v>
      </c>
      <c r="K53" s="110">
        <v>1870.9829999999999</v>
      </c>
      <c r="L53" s="110">
        <v>20835.748</v>
      </c>
      <c r="M53" s="110">
        <v>3158.3470000000002</v>
      </c>
      <c r="N53" s="110">
        <v>7287.6559999999999</v>
      </c>
      <c r="O53" s="110">
        <v>31281.752</v>
      </c>
    </row>
    <row r="54" spans="1:15" x14ac:dyDescent="0.25">
      <c r="A54" s="115">
        <v>1990</v>
      </c>
      <c r="B54" s="110">
        <v>2756.0079999999998</v>
      </c>
      <c r="C54" s="110">
        <v>8442.8610000000008</v>
      </c>
      <c r="D54" s="110">
        <v>8198.82</v>
      </c>
      <c r="E54" s="110">
        <v>19402.468000000001</v>
      </c>
      <c r="F54" s="110">
        <v>30.946999999999999</v>
      </c>
      <c r="G54" s="110">
        <v>1.9</v>
      </c>
      <c r="H54" s="110">
        <v>4.1000000000000002E-2</v>
      </c>
      <c r="I54" s="110" t="s">
        <v>451</v>
      </c>
      <c r="J54" s="110">
        <v>1684.1859999999999</v>
      </c>
      <c r="K54" s="110">
        <v>1717.0740000000001</v>
      </c>
      <c r="L54" s="110">
        <v>21119.541000000001</v>
      </c>
      <c r="M54" s="110">
        <v>3226.12</v>
      </c>
      <c r="N54" s="110">
        <v>7403.6139999999996</v>
      </c>
      <c r="O54" s="110">
        <v>31749.275000000001</v>
      </c>
    </row>
    <row r="55" spans="1:15" x14ac:dyDescent="0.25">
      <c r="A55" s="115">
        <v>1991</v>
      </c>
      <c r="B55" s="110">
        <v>2600.84</v>
      </c>
      <c r="C55" s="110">
        <v>8572.3179999999993</v>
      </c>
      <c r="D55" s="110">
        <v>7900.2380000000003</v>
      </c>
      <c r="E55" s="110">
        <v>19083.083999999999</v>
      </c>
      <c r="F55" s="110">
        <v>29.675000000000001</v>
      </c>
      <c r="G55" s="110">
        <v>2.1</v>
      </c>
      <c r="H55" s="110">
        <v>4.5999999999999999E-2</v>
      </c>
      <c r="I55" s="110" t="s">
        <v>451</v>
      </c>
      <c r="J55" s="110">
        <v>1651.9839999999999</v>
      </c>
      <c r="K55" s="110">
        <v>1683.8050000000001</v>
      </c>
      <c r="L55" s="110">
        <v>20766.888999999999</v>
      </c>
      <c r="M55" s="110">
        <v>3229.7429999999999</v>
      </c>
      <c r="N55" s="110">
        <v>7345.1180000000004</v>
      </c>
      <c r="O55" s="110">
        <v>31341.75</v>
      </c>
    </row>
    <row r="56" spans="1:15" x14ac:dyDescent="0.25">
      <c r="A56" s="115">
        <v>1992</v>
      </c>
      <c r="B56" s="110">
        <v>2514.8209999999999</v>
      </c>
      <c r="C56" s="110">
        <v>8917.7970000000005</v>
      </c>
      <c r="D56" s="110">
        <v>8493.8960000000006</v>
      </c>
      <c r="E56" s="110">
        <v>19961.138999999999</v>
      </c>
      <c r="F56" s="110">
        <v>30.507999999999999</v>
      </c>
      <c r="G56" s="110">
        <v>2.2000000000000002</v>
      </c>
      <c r="H56" s="110">
        <v>0.05</v>
      </c>
      <c r="I56" s="110" t="s">
        <v>451</v>
      </c>
      <c r="J56" s="110">
        <v>1704.5329999999999</v>
      </c>
      <c r="K56" s="110">
        <v>1737.2909999999999</v>
      </c>
      <c r="L56" s="110">
        <v>21698.43</v>
      </c>
      <c r="M56" s="110">
        <v>3318.9</v>
      </c>
      <c r="N56" s="110">
        <v>7495.6139999999996</v>
      </c>
      <c r="O56" s="110">
        <v>32512.944</v>
      </c>
    </row>
    <row r="57" spans="1:15" x14ac:dyDescent="0.25">
      <c r="A57" s="115">
        <v>1993</v>
      </c>
      <c r="B57" s="110">
        <v>2496.288</v>
      </c>
      <c r="C57" s="110">
        <v>9061.6630000000005</v>
      </c>
      <c r="D57" s="110">
        <v>8325.866</v>
      </c>
      <c r="E57" s="110">
        <v>19910.925999999999</v>
      </c>
      <c r="F57" s="110">
        <v>29.593</v>
      </c>
      <c r="G57" s="110">
        <v>2.4</v>
      </c>
      <c r="H57" s="110">
        <v>5.3999999999999999E-2</v>
      </c>
      <c r="I57" s="110" t="s">
        <v>451</v>
      </c>
      <c r="J57" s="110">
        <v>1740.7080000000001</v>
      </c>
      <c r="K57" s="110">
        <v>1772.7550000000001</v>
      </c>
      <c r="L57" s="110">
        <v>21683.681</v>
      </c>
      <c r="M57" s="110">
        <v>3334.0839999999998</v>
      </c>
      <c r="N57" s="110">
        <v>7541.4080000000004</v>
      </c>
      <c r="O57" s="110">
        <v>32559.173999999999</v>
      </c>
    </row>
    <row r="58" spans="1:15" x14ac:dyDescent="0.25">
      <c r="A58" s="115">
        <v>1994</v>
      </c>
      <c r="B58" s="110">
        <v>2509.6860000000001</v>
      </c>
      <c r="C58" s="110">
        <v>9126.0460000000003</v>
      </c>
      <c r="D58" s="110">
        <v>8712.0830000000005</v>
      </c>
      <c r="E58" s="110">
        <v>20406.143</v>
      </c>
      <c r="F58" s="110">
        <v>62.186</v>
      </c>
      <c r="G58" s="110">
        <v>2.8</v>
      </c>
      <c r="H58" s="110">
        <v>6.0999999999999999E-2</v>
      </c>
      <c r="I58" s="110" t="s">
        <v>451</v>
      </c>
      <c r="J58" s="110">
        <v>1862.384</v>
      </c>
      <c r="K58" s="110">
        <v>1927.431</v>
      </c>
      <c r="L58" s="110">
        <v>22333.574000000001</v>
      </c>
      <c r="M58" s="110">
        <v>3439.232</v>
      </c>
      <c r="N58" s="110">
        <v>7689.2730000000001</v>
      </c>
      <c r="O58" s="110">
        <v>33462.078000000001</v>
      </c>
    </row>
    <row r="59" spans="1:15" x14ac:dyDescent="0.25">
      <c r="A59" s="115">
        <v>1995</v>
      </c>
      <c r="B59" s="110">
        <v>2488.2669999999998</v>
      </c>
      <c r="C59" s="110">
        <v>9591.8250000000007</v>
      </c>
      <c r="D59" s="110">
        <v>8523.8359999999993</v>
      </c>
      <c r="E59" s="110">
        <v>20664.989000000001</v>
      </c>
      <c r="F59" s="110">
        <v>54.695</v>
      </c>
      <c r="G59" s="110">
        <v>3</v>
      </c>
      <c r="H59" s="110">
        <v>7.0000000000000007E-2</v>
      </c>
      <c r="I59" s="110" t="s">
        <v>451</v>
      </c>
      <c r="J59" s="110">
        <v>1934.2719999999999</v>
      </c>
      <c r="K59" s="110">
        <v>1992.037</v>
      </c>
      <c r="L59" s="110">
        <v>22657.026000000002</v>
      </c>
      <c r="M59" s="110">
        <v>3455.31</v>
      </c>
      <c r="N59" s="110">
        <v>7796.1180000000004</v>
      </c>
      <c r="O59" s="110">
        <v>33908.453000000001</v>
      </c>
    </row>
    <row r="60" spans="1:15" x14ac:dyDescent="0.25">
      <c r="A60" s="115">
        <v>1996</v>
      </c>
      <c r="B60" s="110">
        <v>2434.3939999999998</v>
      </c>
      <c r="C60" s="110">
        <v>9900.5669999999991</v>
      </c>
      <c r="D60" s="110">
        <v>8951.5580000000009</v>
      </c>
      <c r="E60" s="110">
        <v>21309.33</v>
      </c>
      <c r="F60" s="110">
        <v>60.773000000000003</v>
      </c>
      <c r="G60" s="110">
        <v>2.9</v>
      </c>
      <c r="H60" s="110">
        <v>0.08</v>
      </c>
      <c r="I60" s="110" t="s">
        <v>451</v>
      </c>
      <c r="J60" s="110">
        <v>1969.0319999999999</v>
      </c>
      <c r="K60" s="110">
        <v>2032.7860000000001</v>
      </c>
      <c r="L60" s="110">
        <v>23342.116000000002</v>
      </c>
      <c r="M60" s="110">
        <v>3526.75</v>
      </c>
      <c r="N60" s="110">
        <v>7967.52</v>
      </c>
      <c r="O60" s="110">
        <v>34836.385999999999</v>
      </c>
    </row>
    <row r="61" spans="1:15" x14ac:dyDescent="0.25">
      <c r="A61" s="115">
        <v>1997</v>
      </c>
      <c r="B61" s="110">
        <v>2395.0639999999999</v>
      </c>
      <c r="C61" s="110">
        <v>9932.9359999999997</v>
      </c>
      <c r="D61" s="110">
        <v>9188.3709999999992</v>
      </c>
      <c r="E61" s="110">
        <v>21562.81</v>
      </c>
      <c r="F61" s="110">
        <v>58.061999999999998</v>
      </c>
      <c r="G61" s="110">
        <v>3.1</v>
      </c>
      <c r="H61" s="110">
        <v>8.8999999999999996E-2</v>
      </c>
      <c r="I61" s="110" t="s">
        <v>451</v>
      </c>
      <c r="J61" s="110">
        <v>1995.998</v>
      </c>
      <c r="K61" s="110">
        <v>2057.2489999999998</v>
      </c>
      <c r="L61" s="110">
        <v>23620.059000000001</v>
      </c>
      <c r="M61" s="110">
        <v>3542.328</v>
      </c>
      <c r="N61" s="110">
        <v>7971.7610000000004</v>
      </c>
      <c r="O61" s="110">
        <v>35134.148000000001</v>
      </c>
    </row>
    <row r="62" spans="1:15" x14ac:dyDescent="0.25">
      <c r="A62" s="115">
        <v>1998</v>
      </c>
      <c r="B62" s="110">
        <v>2335.259</v>
      </c>
      <c r="C62" s="110">
        <v>9763.3649999999998</v>
      </c>
      <c r="D62" s="110">
        <v>9018.11</v>
      </c>
      <c r="E62" s="110">
        <v>21183.828000000001</v>
      </c>
      <c r="F62" s="110">
        <v>54.539000000000001</v>
      </c>
      <c r="G62" s="110">
        <v>3</v>
      </c>
      <c r="H62" s="110">
        <v>0.1</v>
      </c>
      <c r="I62" s="110" t="s">
        <v>451</v>
      </c>
      <c r="J62" s="110">
        <v>1871.691</v>
      </c>
      <c r="K62" s="110">
        <v>1929.33</v>
      </c>
      <c r="L62" s="110">
        <v>23113.159</v>
      </c>
      <c r="M62" s="110">
        <v>3586.7049999999999</v>
      </c>
      <c r="N62" s="110">
        <v>8079.1239999999998</v>
      </c>
      <c r="O62" s="110">
        <v>34778.987000000001</v>
      </c>
    </row>
    <row r="63" spans="1:15" x14ac:dyDescent="0.25">
      <c r="A63" s="115">
        <v>1999</v>
      </c>
      <c r="B63" s="110">
        <v>2226.7829999999999</v>
      </c>
      <c r="C63" s="110">
        <v>9375.3029999999999</v>
      </c>
      <c r="D63" s="110">
        <v>9283.6970000000001</v>
      </c>
      <c r="E63" s="110">
        <v>20943.473999999998</v>
      </c>
      <c r="F63" s="110">
        <v>48.658000000000001</v>
      </c>
      <c r="G63" s="110">
        <v>4.0999999999999996</v>
      </c>
      <c r="H63" s="110">
        <v>0.11700000000000001</v>
      </c>
      <c r="I63" s="110" t="s">
        <v>451</v>
      </c>
      <c r="J63" s="110">
        <v>1881.5229999999999</v>
      </c>
      <c r="K63" s="110">
        <v>1934.3979999999999</v>
      </c>
      <c r="L63" s="110">
        <v>22877.873</v>
      </c>
      <c r="M63" s="110">
        <v>3610.6350000000002</v>
      </c>
      <c r="N63" s="110">
        <v>8203.1119999999992</v>
      </c>
      <c r="O63" s="110">
        <v>34691.620000000003</v>
      </c>
    </row>
    <row r="64" spans="1:15" x14ac:dyDescent="0.25">
      <c r="A64" s="115">
        <v>2000</v>
      </c>
      <c r="B64" s="110">
        <v>2256.498</v>
      </c>
      <c r="C64" s="110">
        <v>9499.7929999999997</v>
      </c>
      <c r="D64" s="110">
        <v>8998.1229999999996</v>
      </c>
      <c r="E64" s="110">
        <v>20819.777999999998</v>
      </c>
      <c r="F64" s="110">
        <v>42.183</v>
      </c>
      <c r="G64" s="110">
        <v>4.4000000000000004</v>
      </c>
      <c r="H64" s="110">
        <v>0.13200000000000001</v>
      </c>
      <c r="I64" s="110" t="s">
        <v>451</v>
      </c>
      <c r="J64" s="110">
        <v>1881.4839999999999</v>
      </c>
      <c r="K64" s="110">
        <v>1928.1990000000001</v>
      </c>
      <c r="L64" s="110">
        <v>22747.976999999999</v>
      </c>
      <c r="M64" s="110">
        <v>3631.1849999999999</v>
      </c>
      <c r="N64" s="110">
        <v>8208.02</v>
      </c>
      <c r="O64" s="110">
        <v>34587.182000000001</v>
      </c>
    </row>
    <row r="65" spans="1:15" x14ac:dyDescent="0.25">
      <c r="A65" s="115">
        <v>2001</v>
      </c>
      <c r="B65" s="110">
        <v>2191.6379999999999</v>
      </c>
      <c r="C65" s="110">
        <v>8676.3420000000006</v>
      </c>
      <c r="D65" s="110">
        <v>9110.098</v>
      </c>
      <c r="E65" s="110">
        <v>20007.338</v>
      </c>
      <c r="F65" s="110">
        <v>32.5</v>
      </c>
      <c r="G65" s="110">
        <v>4.76</v>
      </c>
      <c r="H65" s="110">
        <v>0.16200000000000001</v>
      </c>
      <c r="I65" s="110" t="s">
        <v>451</v>
      </c>
      <c r="J65" s="110">
        <v>1681.425</v>
      </c>
      <c r="K65" s="110">
        <v>1718.847</v>
      </c>
      <c r="L65" s="110">
        <v>21726.186000000002</v>
      </c>
      <c r="M65" s="110">
        <v>3400.431</v>
      </c>
      <c r="N65" s="110">
        <v>7525.9049999999997</v>
      </c>
      <c r="O65" s="110">
        <v>32652.521000000001</v>
      </c>
    </row>
    <row r="66" spans="1:15" x14ac:dyDescent="0.25">
      <c r="A66" s="115">
        <v>2002</v>
      </c>
      <c r="B66" s="110">
        <v>2019.3579999999999</v>
      </c>
      <c r="C66" s="110">
        <v>8831.57</v>
      </c>
      <c r="D66" s="110">
        <v>9095.67</v>
      </c>
      <c r="E66" s="110">
        <v>20007.356</v>
      </c>
      <c r="F66" s="110">
        <v>38.908000000000001</v>
      </c>
      <c r="G66" s="110">
        <v>4.7869999999999999</v>
      </c>
      <c r="H66" s="110">
        <v>0.189</v>
      </c>
      <c r="I66" s="110" t="s">
        <v>451</v>
      </c>
      <c r="J66" s="110">
        <v>1675.9780000000001</v>
      </c>
      <c r="K66" s="110">
        <v>1719.8620000000001</v>
      </c>
      <c r="L66" s="110">
        <v>21727.218000000001</v>
      </c>
      <c r="M66" s="110">
        <v>3378.6909999999998</v>
      </c>
      <c r="N66" s="110">
        <v>7484.2139999999999</v>
      </c>
      <c r="O66" s="110">
        <v>32590.121999999999</v>
      </c>
    </row>
    <row r="67" spans="1:15" x14ac:dyDescent="0.25">
      <c r="A67" s="115">
        <v>2003</v>
      </c>
      <c r="B67" s="110">
        <v>2041.412</v>
      </c>
      <c r="C67" s="110">
        <v>8488.3389999999999</v>
      </c>
      <c r="D67" s="110">
        <v>9164.3799999999992</v>
      </c>
      <c r="E67" s="110">
        <v>19744.646000000001</v>
      </c>
      <c r="F67" s="110">
        <v>42.752000000000002</v>
      </c>
      <c r="G67" s="110">
        <v>3.4</v>
      </c>
      <c r="H67" s="110">
        <v>0.22</v>
      </c>
      <c r="I67" s="110" t="s">
        <v>451</v>
      </c>
      <c r="J67" s="110">
        <v>1678.2080000000001</v>
      </c>
      <c r="K67" s="110">
        <v>1724.579</v>
      </c>
      <c r="L67" s="110">
        <v>21469.224999999999</v>
      </c>
      <c r="M67" s="110">
        <v>3454.2179999999998</v>
      </c>
      <c r="N67" s="110">
        <v>7565.1719999999996</v>
      </c>
      <c r="O67" s="110">
        <v>32488.614000000001</v>
      </c>
    </row>
    <row r="68" spans="1:15" x14ac:dyDescent="0.25">
      <c r="A68" s="115">
        <v>2004</v>
      </c>
      <c r="B68" s="110">
        <v>2046.877</v>
      </c>
      <c r="C68" s="110">
        <v>8549.8320000000003</v>
      </c>
      <c r="D68" s="110">
        <v>9753.4930000000004</v>
      </c>
      <c r="E68" s="110">
        <v>20487.963</v>
      </c>
      <c r="F68" s="110">
        <v>32.536999999999999</v>
      </c>
      <c r="G68" s="110">
        <v>3.8</v>
      </c>
      <c r="H68" s="110">
        <v>0.26900000000000002</v>
      </c>
      <c r="I68" s="110" t="s">
        <v>451</v>
      </c>
      <c r="J68" s="110">
        <v>1814.972</v>
      </c>
      <c r="K68" s="110">
        <v>1851.578</v>
      </c>
      <c r="L68" s="110">
        <v>22339.541000000001</v>
      </c>
      <c r="M68" s="110">
        <v>3472.9029999999998</v>
      </c>
      <c r="N68" s="110">
        <v>7631.2780000000002</v>
      </c>
      <c r="O68" s="110">
        <v>33443.720999999998</v>
      </c>
    </row>
    <row r="69" spans="1:15" x14ac:dyDescent="0.25">
      <c r="A69" s="115">
        <v>2005</v>
      </c>
      <c r="B69" s="110">
        <v>1954.0419999999999</v>
      </c>
      <c r="C69" s="110">
        <v>7907.3440000000001</v>
      </c>
      <c r="D69" s="110">
        <v>9566.6740000000009</v>
      </c>
      <c r="E69" s="110">
        <v>19472.252</v>
      </c>
      <c r="F69" s="110">
        <v>31.951000000000001</v>
      </c>
      <c r="G69" s="110">
        <v>4.3</v>
      </c>
      <c r="H69" s="110">
        <v>0.40300000000000002</v>
      </c>
      <c r="I69" s="110" t="s">
        <v>451</v>
      </c>
      <c r="J69" s="110">
        <v>1834.097</v>
      </c>
      <c r="K69" s="110">
        <v>1870.751</v>
      </c>
      <c r="L69" s="110">
        <v>21343.003000000001</v>
      </c>
      <c r="M69" s="110">
        <v>3477.36</v>
      </c>
      <c r="N69" s="110">
        <v>7553.7629999999999</v>
      </c>
      <c r="O69" s="110">
        <v>32374.126</v>
      </c>
    </row>
    <row r="70" spans="1:15" x14ac:dyDescent="0.25">
      <c r="A70" s="115">
        <v>2006</v>
      </c>
      <c r="B70" s="110">
        <v>1914.4659999999999</v>
      </c>
      <c r="C70" s="110">
        <v>7861.0249999999996</v>
      </c>
      <c r="D70" s="110">
        <v>9693.0439999999999</v>
      </c>
      <c r="E70" s="110">
        <v>19529.322</v>
      </c>
      <c r="F70" s="110">
        <v>28.756</v>
      </c>
      <c r="G70" s="110">
        <v>4.4000000000000004</v>
      </c>
      <c r="H70" s="110">
        <v>0.58299999999999996</v>
      </c>
      <c r="I70" s="110" t="s">
        <v>451</v>
      </c>
      <c r="J70" s="110">
        <v>1891.9970000000001</v>
      </c>
      <c r="K70" s="110">
        <v>1925.7360000000001</v>
      </c>
      <c r="L70" s="110">
        <v>21455.058000000001</v>
      </c>
      <c r="M70" s="110">
        <v>3450.547</v>
      </c>
      <c r="N70" s="110">
        <v>7411.2389999999996</v>
      </c>
      <c r="O70" s="110">
        <v>32316.844000000001</v>
      </c>
    </row>
    <row r="71" spans="1:15" x14ac:dyDescent="0.25">
      <c r="A71" s="115">
        <v>2007</v>
      </c>
      <c r="B71" s="110">
        <v>1864.6120000000001</v>
      </c>
      <c r="C71" s="110">
        <v>8073.57</v>
      </c>
      <c r="D71" s="110">
        <v>9362.6260000000002</v>
      </c>
      <c r="E71" s="110">
        <v>19326</v>
      </c>
      <c r="F71" s="110">
        <v>15.715</v>
      </c>
      <c r="G71" s="110">
        <v>4.7</v>
      </c>
      <c r="H71" s="110">
        <v>0.82099999999999995</v>
      </c>
      <c r="I71" s="110" t="s">
        <v>451</v>
      </c>
      <c r="J71" s="110">
        <v>1936.731</v>
      </c>
      <c r="K71" s="110">
        <v>1957.9680000000001</v>
      </c>
      <c r="L71" s="110">
        <v>21283.967000000001</v>
      </c>
      <c r="M71" s="110">
        <v>3506.9630000000002</v>
      </c>
      <c r="N71" s="110">
        <v>7515.3540000000003</v>
      </c>
      <c r="O71" s="110">
        <v>32306.284</v>
      </c>
    </row>
    <row r="72" spans="1:15" x14ac:dyDescent="0.25">
      <c r="A72" s="115">
        <v>2008</v>
      </c>
      <c r="B72" s="110">
        <v>1793.192</v>
      </c>
      <c r="C72" s="110">
        <v>8083.4049999999997</v>
      </c>
      <c r="D72" s="110">
        <v>8502.3690000000006</v>
      </c>
      <c r="E72" s="110">
        <v>18419.738000000001</v>
      </c>
      <c r="F72" s="110">
        <v>16.513999999999999</v>
      </c>
      <c r="G72" s="110">
        <v>5</v>
      </c>
      <c r="H72" s="110">
        <v>1.3149999999999999</v>
      </c>
      <c r="I72" s="110" t="s">
        <v>451</v>
      </c>
      <c r="J72" s="110">
        <v>2012.2950000000001</v>
      </c>
      <c r="K72" s="110">
        <v>2035.124</v>
      </c>
      <c r="L72" s="110">
        <v>20454.863000000001</v>
      </c>
      <c r="M72" s="110">
        <v>3444.4690000000001</v>
      </c>
      <c r="N72" s="110">
        <v>7361.6379999999999</v>
      </c>
      <c r="O72" s="110">
        <v>31260.97</v>
      </c>
    </row>
    <row r="73" spans="1:15" x14ac:dyDescent="0.25">
      <c r="A73" s="115">
        <v>2009</v>
      </c>
      <c r="B73" s="110">
        <v>1392.499</v>
      </c>
      <c r="C73" s="110">
        <v>7608.9719999999998</v>
      </c>
      <c r="D73" s="110">
        <v>7720.1040000000003</v>
      </c>
      <c r="E73" s="110">
        <v>16697.764999999999</v>
      </c>
      <c r="F73" s="110">
        <v>18.234999999999999</v>
      </c>
      <c r="G73" s="110">
        <v>4.2</v>
      </c>
      <c r="H73" s="110">
        <v>1.7509999999999999</v>
      </c>
      <c r="I73" s="110" t="s">
        <v>451</v>
      </c>
      <c r="J73" s="110">
        <v>1948.2629999999999</v>
      </c>
      <c r="K73" s="110">
        <v>1972.4480000000001</v>
      </c>
      <c r="L73" s="110">
        <v>18670.213</v>
      </c>
      <c r="M73" s="110">
        <v>3130.2249999999999</v>
      </c>
      <c r="N73" s="110">
        <v>6579.7719999999999</v>
      </c>
      <c r="O73" s="110">
        <v>28380.21</v>
      </c>
    </row>
    <row r="74" spans="1:15" x14ac:dyDescent="0.25">
      <c r="A74" s="115">
        <v>2010</v>
      </c>
      <c r="B74" s="110">
        <v>1631.376</v>
      </c>
      <c r="C74" s="110">
        <v>8277.9850000000006</v>
      </c>
      <c r="D74" s="110">
        <v>8083.5039999999999</v>
      </c>
      <c r="E74" s="110">
        <v>17986.692999999999</v>
      </c>
      <c r="F74" s="110">
        <v>16.27</v>
      </c>
      <c r="G74" s="110">
        <v>4.2</v>
      </c>
      <c r="H74" s="110">
        <v>2.69</v>
      </c>
      <c r="I74" s="110" t="s">
        <v>451</v>
      </c>
      <c r="J74" s="110">
        <v>2320.3130000000001</v>
      </c>
      <c r="K74" s="110">
        <v>2343.473</v>
      </c>
      <c r="L74" s="110">
        <v>20330.166000000001</v>
      </c>
      <c r="M74" s="110">
        <v>3313.8069999999998</v>
      </c>
      <c r="N74" s="110">
        <v>6933.9430000000002</v>
      </c>
      <c r="O74" s="110">
        <v>30577.916000000001</v>
      </c>
    </row>
    <row r="75" spans="1:15" x14ac:dyDescent="0.25">
      <c r="A75" s="115">
        <v>2011</v>
      </c>
      <c r="B75" s="110">
        <v>1560.941</v>
      </c>
      <c r="C75" s="110">
        <v>8480.5329999999994</v>
      </c>
      <c r="D75" s="110">
        <v>8039.6509999999998</v>
      </c>
      <c r="E75" s="110">
        <v>18092.227999999999</v>
      </c>
      <c r="F75" s="110">
        <v>17.477</v>
      </c>
      <c r="G75" s="110">
        <v>4.2</v>
      </c>
      <c r="H75" s="110">
        <v>4.4109999999999996</v>
      </c>
      <c r="I75" s="110">
        <v>4.7E-2</v>
      </c>
      <c r="J75" s="110">
        <v>2374.7550000000001</v>
      </c>
      <c r="K75" s="110">
        <v>2400.89</v>
      </c>
      <c r="L75" s="110">
        <v>20493.117999999999</v>
      </c>
      <c r="M75" s="110">
        <v>3382.3690000000001</v>
      </c>
      <c r="N75" s="110">
        <v>7005.1310000000003</v>
      </c>
      <c r="O75" s="110">
        <v>30880.617999999999</v>
      </c>
    </row>
    <row r="76" spans="1:15" x14ac:dyDescent="0.25">
      <c r="A76" s="115">
        <v>2012</v>
      </c>
      <c r="B76" s="110">
        <v>1513.06</v>
      </c>
      <c r="C76" s="110">
        <v>8818.6110000000008</v>
      </c>
      <c r="D76" s="110">
        <v>8069.0569999999998</v>
      </c>
      <c r="E76" s="110">
        <v>18404.710999999999</v>
      </c>
      <c r="F76" s="110">
        <v>22.393000000000001</v>
      </c>
      <c r="G76" s="110">
        <v>4.2</v>
      </c>
      <c r="H76" s="110">
        <v>7.1959999999999997</v>
      </c>
      <c r="I76" s="110">
        <v>0.182</v>
      </c>
      <c r="J76" s="110">
        <v>2348.7089999999998</v>
      </c>
      <c r="K76" s="110">
        <v>2382.6799999999998</v>
      </c>
      <c r="L76" s="110">
        <v>20787.391</v>
      </c>
      <c r="M76" s="110">
        <v>3363.2559999999999</v>
      </c>
      <c r="N76" s="110">
        <v>6809.9279999999999</v>
      </c>
      <c r="O76" s="110">
        <v>30960.575000000001</v>
      </c>
    </row>
    <row r="77" spans="1:15" x14ac:dyDescent="0.25">
      <c r="A77" s="115">
        <v>2013</v>
      </c>
      <c r="B77" s="110">
        <v>1546.3969999999999</v>
      </c>
      <c r="C77" s="110">
        <v>9140.4549999999999</v>
      </c>
      <c r="D77" s="110">
        <v>8260.1640000000007</v>
      </c>
      <c r="E77" s="110">
        <v>18929.594000000001</v>
      </c>
      <c r="F77" s="110">
        <v>33.04</v>
      </c>
      <c r="G77" s="110">
        <v>4.2</v>
      </c>
      <c r="H77" s="110">
        <v>8.6649999999999991</v>
      </c>
      <c r="I77" s="110">
        <v>0.35599999999999998</v>
      </c>
      <c r="J77" s="110">
        <v>2403.0239999999999</v>
      </c>
      <c r="K77" s="110">
        <v>2449.2860000000001</v>
      </c>
      <c r="L77" s="110">
        <v>21378.879000000001</v>
      </c>
      <c r="M77" s="110">
        <v>3362.0210000000002</v>
      </c>
      <c r="N77" s="110">
        <v>6784.576</v>
      </c>
      <c r="O77" s="110">
        <v>31525.475999999999</v>
      </c>
    </row>
    <row r="78" spans="1:15" x14ac:dyDescent="0.25">
      <c r="A78" s="115">
        <v>2014</v>
      </c>
      <c r="B78" s="110">
        <v>1530.4749999999999</v>
      </c>
      <c r="C78" s="110">
        <v>9441.0519999999997</v>
      </c>
      <c r="D78" s="110">
        <v>8020.64</v>
      </c>
      <c r="E78" s="110">
        <v>18970.608</v>
      </c>
      <c r="F78" s="110">
        <v>12.192</v>
      </c>
      <c r="G78" s="110">
        <v>4.2</v>
      </c>
      <c r="H78" s="110">
        <v>10.992000000000001</v>
      </c>
      <c r="I78" s="110">
        <v>0.503</v>
      </c>
      <c r="J78" s="110">
        <v>2456.3069999999998</v>
      </c>
      <c r="K78" s="110">
        <v>2484.1930000000002</v>
      </c>
      <c r="L78" s="110">
        <v>21454.800999999999</v>
      </c>
      <c r="M78" s="110">
        <v>3403.73</v>
      </c>
      <c r="N78" s="110">
        <v>6832.3509999999997</v>
      </c>
      <c r="O78" s="110">
        <v>31690.882000000001</v>
      </c>
    </row>
    <row r="79" spans="1:15" x14ac:dyDescent="0.25">
      <c r="A79" s="115">
        <v>2015</v>
      </c>
      <c r="B79" s="110">
        <v>1379.759</v>
      </c>
      <c r="C79" s="110">
        <v>9425.6810000000005</v>
      </c>
      <c r="D79" s="110">
        <v>8141.16</v>
      </c>
      <c r="E79" s="110">
        <v>18928.817999999999</v>
      </c>
      <c r="F79" s="110">
        <v>13.135</v>
      </c>
      <c r="G79" s="110">
        <v>4.2</v>
      </c>
      <c r="H79" s="110">
        <v>13.722</v>
      </c>
      <c r="I79" s="110">
        <v>0.497</v>
      </c>
      <c r="J79" s="110">
        <v>2459.8009999999999</v>
      </c>
      <c r="K79" s="110">
        <v>2491.355</v>
      </c>
      <c r="L79" s="110">
        <v>21420.172999999999</v>
      </c>
      <c r="M79" s="110">
        <v>3365.9639999999999</v>
      </c>
      <c r="N79" s="110">
        <v>6577.7539999999999</v>
      </c>
      <c r="O79" s="110">
        <v>31363.891</v>
      </c>
    </row>
    <row r="80" spans="1:15" x14ac:dyDescent="0.25">
      <c r="A80" s="115">
        <v>2016</v>
      </c>
      <c r="B80" s="110">
        <v>1205.336</v>
      </c>
      <c r="C80" s="110">
        <v>9617.4590000000007</v>
      </c>
      <c r="D80" s="110">
        <v>8240.7929999999997</v>
      </c>
      <c r="E80" s="110">
        <v>19044.449000000001</v>
      </c>
      <c r="F80" s="110">
        <v>11.717000000000001</v>
      </c>
      <c r="G80" s="110">
        <v>4.2</v>
      </c>
      <c r="H80" s="110">
        <v>19.268999999999998</v>
      </c>
      <c r="I80" s="110">
        <v>0.65300000000000002</v>
      </c>
      <c r="J80" s="110">
        <v>2466.8980000000001</v>
      </c>
      <c r="K80" s="110">
        <v>2502.7370000000001</v>
      </c>
      <c r="L80" s="110">
        <v>21547.186000000002</v>
      </c>
      <c r="M80" s="110">
        <v>3332.5520000000001</v>
      </c>
      <c r="N80" s="110">
        <v>6461.0630000000001</v>
      </c>
      <c r="O80" s="110">
        <v>31340.800999999999</v>
      </c>
    </row>
    <row r="81" spans="1:15" x14ac:dyDescent="0.25">
      <c r="A81" s="115">
        <v>2017</v>
      </c>
      <c r="B81" s="110">
        <v>1194.8109999999999</v>
      </c>
      <c r="C81" s="110">
        <v>9864.3469999999998</v>
      </c>
      <c r="D81" s="110">
        <v>8440.7970000000005</v>
      </c>
      <c r="E81" s="110">
        <v>19471.420999999998</v>
      </c>
      <c r="F81" s="110">
        <v>12.738</v>
      </c>
      <c r="G81" s="110">
        <v>4.2</v>
      </c>
      <c r="H81" s="110">
        <v>22.167999999999999</v>
      </c>
      <c r="I81" s="110">
        <v>0.77800000000000002</v>
      </c>
      <c r="J81" s="110">
        <v>2546.8359999999998</v>
      </c>
      <c r="K81" s="110">
        <v>2586.7199999999998</v>
      </c>
      <c r="L81" s="110">
        <v>22058.141</v>
      </c>
      <c r="M81" s="110">
        <v>3358.4250000000002</v>
      </c>
      <c r="N81" s="110">
        <v>6486.5429999999997</v>
      </c>
      <c r="O81" s="110">
        <v>31903.109</v>
      </c>
    </row>
    <row r="82" spans="1:15" x14ac:dyDescent="0.25">
      <c r="A82" s="115">
        <v>2018</v>
      </c>
      <c r="B82" s="110">
        <v>1179.5170000000001</v>
      </c>
      <c r="C82" s="110">
        <v>10422.108</v>
      </c>
      <c r="D82" s="110">
        <v>8778.6919999999991</v>
      </c>
      <c r="E82" s="110">
        <v>20354.669999999998</v>
      </c>
      <c r="F82" s="110">
        <v>10.477</v>
      </c>
      <c r="G82" s="110">
        <v>4.2</v>
      </c>
      <c r="H82" s="110">
        <v>24.466999999999999</v>
      </c>
      <c r="I82" s="110">
        <v>0.88400000000000001</v>
      </c>
      <c r="J82" s="110">
        <v>2545.2049999999999</v>
      </c>
      <c r="K82" s="110">
        <v>2585.232</v>
      </c>
      <c r="L82" s="110">
        <v>22939.901999999998</v>
      </c>
      <c r="M82" s="110">
        <v>3417.4490000000001</v>
      </c>
      <c r="N82" s="110">
        <v>6486.6819999999998</v>
      </c>
      <c r="O82" s="110">
        <v>32844.033000000003</v>
      </c>
    </row>
  </sheetData>
  <sheetProtection formatCells="0" formatColumns="0" formatRows="0" insertColumns="0" insertRows="0" insertHyperlinks="0" deleteColumns="0" deleteRows="0" sort="0" autoFilter="0" pivotTables="0"/>
  <hyperlinks>
    <hyperlink ref="A4" r:id="rId1" display="http://www.eia.gov/totalenergy/data/monthly/dataunits.cfm" xr:uid="{EBCBC9CA-92B8-4F31-9C87-C68679E6C7C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93"/>
  <sheetViews>
    <sheetView showGridLines="0" workbookViewId="0">
      <selection sqref="A1:AB1"/>
    </sheetView>
  </sheetViews>
  <sheetFormatPr defaultColWidth="9.140625" defaultRowHeight="12.75" x14ac:dyDescent="0.2"/>
  <cols>
    <col min="1" max="1" width="4.5703125" style="85" bestFit="1" customWidth="1"/>
    <col min="2" max="2" width="6.5703125" style="85" bestFit="1" customWidth="1"/>
    <col min="3" max="3" width="2.28515625" style="85" bestFit="1" customWidth="1"/>
    <col min="4" max="4" width="9.7109375" style="85" bestFit="1" customWidth="1"/>
    <col min="5" max="5" width="7" style="85" bestFit="1" customWidth="1"/>
    <col min="6" max="6" width="2.28515625" style="85" bestFit="1" customWidth="1"/>
    <col min="7" max="7" width="7.5703125" style="85" customWidth="1"/>
    <col min="8" max="8" width="2.42578125" style="85" customWidth="1"/>
    <col min="9" max="9" width="7.28515625" style="85" bestFit="1" customWidth="1"/>
    <col min="10" max="10" width="2.28515625" style="85" bestFit="1" customWidth="1"/>
    <col min="11" max="11" width="7.28515625" style="85" customWidth="1"/>
    <col min="12" max="12" width="3.42578125" style="85" customWidth="1"/>
    <col min="13" max="13" width="10.42578125" style="85" bestFit="1" customWidth="1"/>
    <col min="14" max="14" width="4.7109375" style="85" customWidth="1"/>
    <col min="15" max="15" width="5.28515625" style="85" customWidth="1"/>
    <col min="16" max="16" width="8" style="85" customWidth="1"/>
    <col min="17" max="17" width="9.5703125" style="85" customWidth="1"/>
    <col min="18" max="18" width="3.28515625" style="85" customWidth="1"/>
    <col min="19" max="19" width="9.5703125" style="85" customWidth="1"/>
    <col min="20" max="20" width="3.28515625" style="85" customWidth="1"/>
    <col min="21" max="21" width="10.7109375" style="85" customWidth="1"/>
    <col min="22" max="22" width="3.28515625" style="85" customWidth="1"/>
    <col min="23" max="23" width="9.5703125" style="85" customWidth="1"/>
    <col min="24" max="24" width="3.28515625" style="85" customWidth="1"/>
    <col min="25" max="25" width="9.5703125" style="85" customWidth="1"/>
    <col min="26" max="26" width="3.28515625" style="85" customWidth="1"/>
    <col min="27" max="27" width="10.7109375" style="85" customWidth="1"/>
    <col min="28" max="28" width="3.28515625" style="85" customWidth="1"/>
    <col min="29" max="16384" width="9.140625" style="85"/>
  </cols>
  <sheetData>
    <row r="1" spans="1:28" ht="15.75" customHeight="1" x14ac:dyDescent="0.25">
      <c r="A1" s="119" t="s">
        <v>276</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1"/>
    </row>
    <row r="2" spans="1:28" ht="12.75" customHeight="1" x14ac:dyDescent="0.2">
      <c r="A2" s="122" t="s">
        <v>277</v>
      </c>
      <c r="B2" s="123"/>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4"/>
    </row>
    <row r="3" spans="1:28" x14ac:dyDescent="0.2">
      <c r="A3" s="125" t="s">
        <v>248</v>
      </c>
      <c r="B3" s="128" t="s">
        <v>278</v>
      </c>
      <c r="C3" s="129"/>
      <c r="D3" s="129"/>
      <c r="E3" s="129"/>
      <c r="F3" s="129"/>
      <c r="G3" s="129"/>
      <c r="H3" s="129"/>
      <c r="I3" s="129"/>
      <c r="J3" s="129"/>
      <c r="K3" s="129"/>
      <c r="L3" s="129"/>
      <c r="M3" s="129"/>
      <c r="N3" s="129"/>
      <c r="O3" s="129"/>
      <c r="P3" s="129"/>
      <c r="Q3" s="129"/>
      <c r="R3" s="129"/>
      <c r="S3" s="129"/>
      <c r="T3" s="129"/>
      <c r="U3" s="129"/>
      <c r="V3" s="130"/>
      <c r="W3" s="137"/>
      <c r="X3" s="138"/>
      <c r="Y3" s="137"/>
      <c r="Z3" s="138"/>
      <c r="AA3" s="128" t="s">
        <v>279</v>
      </c>
      <c r="AB3" s="130"/>
    </row>
    <row r="4" spans="1:28" x14ac:dyDescent="0.2">
      <c r="A4" s="126"/>
      <c r="B4" s="131"/>
      <c r="C4" s="132"/>
      <c r="D4" s="132"/>
      <c r="E4" s="132"/>
      <c r="F4" s="132"/>
      <c r="G4" s="132"/>
      <c r="H4" s="132"/>
      <c r="I4" s="132"/>
      <c r="J4" s="132"/>
      <c r="K4" s="132"/>
      <c r="L4" s="132"/>
      <c r="M4" s="132"/>
      <c r="N4" s="132"/>
      <c r="O4" s="132"/>
      <c r="P4" s="132"/>
      <c r="Q4" s="132"/>
      <c r="R4" s="132"/>
      <c r="S4" s="132"/>
      <c r="T4" s="132"/>
      <c r="U4" s="132"/>
      <c r="V4" s="133"/>
      <c r="W4" s="139"/>
      <c r="X4" s="140"/>
      <c r="Y4" s="139"/>
      <c r="Z4" s="140"/>
      <c r="AA4" s="131"/>
      <c r="AB4" s="133"/>
    </row>
    <row r="5" spans="1:28" x14ac:dyDescent="0.2">
      <c r="A5" s="126"/>
      <c r="B5" s="131"/>
      <c r="C5" s="132"/>
      <c r="D5" s="132"/>
      <c r="E5" s="132"/>
      <c r="F5" s="132"/>
      <c r="G5" s="132"/>
      <c r="H5" s="132"/>
      <c r="I5" s="132"/>
      <c r="J5" s="132"/>
      <c r="K5" s="132"/>
      <c r="L5" s="132"/>
      <c r="M5" s="132"/>
      <c r="N5" s="132"/>
      <c r="O5" s="132"/>
      <c r="P5" s="132"/>
      <c r="Q5" s="132"/>
      <c r="R5" s="132"/>
      <c r="S5" s="132"/>
      <c r="T5" s="132"/>
      <c r="U5" s="132"/>
      <c r="V5" s="133"/>
      <c r="W5" s="139"/>
      <c r="X5" s="140"/>
      <c r="Y5" s="131" t="s">
        <v>280</v>
      </c>
      <c r="Z5" s="133"/>
      <c r="AA5" s="131"/>
      <c r="AB5" s="133"/>
    </row>
    <row r="6" spans="1:28" x14ac:dyDescent="0.2">
      <c r="A6" s="126"/>
      <c r="B6" s="134"/>
      <c r="C6" s="135"/>
      <c r="D6" s="135"/>
      <c r="E6" s="135"/>
      <c r="F6" s="135"/>
      <c r="G6" s="135"/>
      <c r="H6" s="135"/>
      <c r="I6" s="135"/>
      <c r="J6" s="135"/>
      <c r="K6" s="135"/>
      <c r="L6" s="135"/>
      <c r="M6" s="135"/>
      <c r="N6" s="135"/>
      <c r="O6" s="135"/>
      <c r="P6" s="135"/>
      <c r="Q6" s="135"/>
      <c r="R6" s="135"/>
      <c r="S6" s="135"/>
      <c r="T6" s="135"/>
      <c r="U6" s="135"/>
      <c r="V6" s="136"/>
      <c r="W6" s="131" t="s">
        <v>23</v>
      </c>
      <c r="X6" s="133"/>
      <c r="Y6" s="131" t="s">
        <v>281</v>
      </c>
      <c r="Z6" s="133"/>
      <c r="AA6" s="131"/>
      <c r="AB6" s="133"/>
    </row>
    <row r="7" spans="1:28" x14ac:dyDescent="0.2">
      <c r="A7" s="126"/>
      <c r="B7" s="128" t="s">
        <v>282</v>
      </c>
      <c r="C7" s="129"/>
      <c r="D7" s="129"/>
      <c r="E7" s="129"/>
      <c r="F7" s="129"/>
      <c r="G7" s="129"/>
      <c r="H7" s="129"/>
      <c r="I7" s="129"/>
      <c r="J7" s="130"/>
      <c r="K7" s="128" t="s">
        <v>283</v>
      </c>
      <c r="L7" s="129"/>
      <c r="M7" s="129"/>
      <c r="N7" s="129"/>
      <c r="O7" s="129"/>
      <c r="P7" s="129"/>
      <c r="Q7" s="129"/>
      <c r="R7" s="129"/>
      <c r="S7" s="129"/>
      <c r="T7" s="130"/>
      <c r="U7" s="137"/>
      <c r="V7" s="138"/>
      <c r="W7" s="131" t="s">
        <v>284</v>
      </c>
      <c r="X7" s="133"/>
      <c r="Y7" s="131" t="s">
        <v>285</v>
      </c>
      <c r="Z7" s="133"/>
      <c r="AA7" s="131"/>
      <c r="AB7" s="133"/>
    </row>
    <row r="8" spans="1:28" x14ac:dyDescent="0.2">
      <c r="A8" s="126"/>
      <c r="B8" s="131"/>
      <c r="C8" s="132"/>
      <c r="D8" s="132"/>
      <c r="E8" s="132"/>
      <c r="F8" s="132"/>
      <c r="G8" s="132"/>
      <c r="H8" s="132"/>
      <c r="I8" s="132"/>
      <c r="J8" s="133"/>
      <c r="K8" s="131"/>
      <c r="L8" s="132"/>
      <c r="M8" s="132"/>
      <c r="N8" s="132"/>
      <c r="O8" s="132"/>
      <c r="P8" s="132"/>
      <c r="Q8" s="132"/>
      <c r="R8" s="132"/>
      <c r="S8" s="132"/>
      <c r="T8" s="133"/>
      <c r="U8" s="139"/>
      <c r="V8" s="140"/>
      <c r="W8" s="131" t="s">
        <v>286</v>
      </c>
      <c r="X8" s="133"/>
      <c r="Y8" s="131" t="s">
        <v>287</v>
      </c>
      <c r="Z8" s="133"/>
      <c r="AA8" s="131"/>
      <c r="AB8" s="133"/>
    </row>
    <row r="9" spans="1:28" x14ac:dyDescent="0.2">
      <c r="A9" s="126"/>
      <c r="B9" s="134"/>
      <c r="C9" s="135"/>
      <c r="D9" s="135"/>
      <c r="E9" s="135"/>
      <c r="F9" s="135"/>
      <c r="G9" s="135"/>
      <c r="H9" s="135"/>
      <c r="I9" s="135"/>
      <c r="J9" s="136"/>
      <c r="K9" s="134"/>
      <c r="L9" s="135"/>
      <c r="M9" s="135"/>
      <c r="N9" s="135"/>
      <c r="O9" s="135"/>
      <c r="P9" s="135"/>
      <c r="Q9" s="135"/>
      <c r="R9" s="135"/>
      <c r="S9" s="135"/>
      <c r="T9" s="136"/>
      <c r="U9" s="131" t="s">
        <v>279</v>
      </c>
      <c r="V9" s="133"/>
      <c r="W9" s="131"/>
      <c r="X9" s="133"/>
      <c r="Y9" s="131"/>
      <c r="Z9" s="133"/>
      <c r="AA9" s="131"/>
      <c r="AB9" s="133"/>
    </row>
    <row r="10" spans="1:28" x14ac:dyDescent="0.2">
      <c r="A10" s="126"/>
      <c r="B10" s="128" t="s">
        <v>288</v>
      </c>
      <c r="C10" s="130"/>
      <c r="D10" s="86" t="s">
        <v>289</v>
      </c>
      <c r="E10" s="128" t="s">
        <v>290</v>
      </c>
      <c r="F10" s="130"/>
      <c r="G10" s="128" t="s">
        <v>291</v>
      </c>
      <c r="H10" s="130"/>
      <c r="I10" s="128" t="s">
        <v>279</v>
      </c>
      <c r="J10" s="130"/>
      <c r="K10" s="128" t="s">
        <v>292</v>
      </c>
      <c r="L10" s="130"/>
      <c r="M10" s="125" t="s">
        <v>293</v>
      </c>
      <c r="N10" s="128" t="s">
        <v>294</v>
      </c>
      <c r="O10" s="130"/>
      <c r="P10" s="125" t="s">
        <v>295</v>
      </c>
      <c r="Q10" s="128" t="s">
        <v>296</v>
      </c>
      <c r="R10" s="130"/>
      <c r="S10" s="128" t="s">
        <v>279</v>
      </c>
      <c r="T10" s="130"/>
      <c r="U10" s="131" t="s">
        <v>297</v>
      </c>
      <c r="V10" s="133"/>
      <c r="W10" s="131"/>
      <c r="X10" s="133"/>
      <c r="Y10" s="131"/>
      <c r="Z10" s="133"/>
      <c r="AA10" s="131"/>
      <c r="AB10" s="133"/>
    </row>
    <row r="11" spans="1:28" x14ac:dyDescent="0.2">
      <c r="A11" s="127"/>
      <c r="B11" s="134"/>
      <c r="C11" s="136"/>
      <c r="D11" s="87" t="s">
        <v>298</v>
      </c>
      <c r="E11" s="134" t="s">
        <v>299</v>
      </c>
      <c r="F11" s="136"/>
      <c r="G11" s="134"/>
      <c r="H11" s="136"/>
      <c r="I11" s="134"/>
      <c r="J11" s="136"/>
      <c r="K11" s="134" t="s">
        <v>300</v>
      </c>
      <c r="L11" s="136"/>
      <c r="M11" s="127"/>
      <c r="N11" s="134"/>
      <c r="O11" s="136"/>
      <c r="P11" s="127"/>
      <c r="Q11" s="134"/>
      <c r="R11" s="136"/>
      <c r="S11" s="134"/>
      <c r="T11" s="136"/>
      <c r="U11" s="134"/>
      <c r="V11" s="136"/>
      <c r="W11" s="134"/>
      <c r="X11" s="136"/>
      <c r="Y11" s="134"/>
      <c r="Z11" s="136"/>
      <c r="AA11" s="134"/>
      <c r="AB11" s="136"/>
    </row>
    <row r="12" spans="1:28" x14ac:dyDescent="0.2">
      <c r="A12" s="88">
        <v>1949</v>
      </c>
      <c r="B12" s="89">
        <v>5433101</v>
      </c>
      <c r="C12" s="90"/>
      <c r="D12" s="89">
        <v>-6671</v>
      </c>
      <c r="E12" s="89">
        <v>3188492</v>
      </c>
      <c r="F12" s="90"/>
      <c r="G12" s="89">
        <v>3474640</v>
      </c>
      <c r="H12" s="90"/>
      <c r="I12" s="89">
        <v>12089562</v>
      </c>
      <c r="J12" s="90"/>
      <c r="K12" s="89">
        <v>75537</v>
      </c>
      <c r="L12" s="90"/>
      <c r="M12" s="91" t="s">
        <v>301</v>
      </c>
      <c r="N12" s="91" t="s">
        <v>301</v>
      </c>
      <c r="O12" s="90"/>
      <c r="P12" s="91" t="s">
        <v>301</v>
      </c>
      <c r="Q12" s="89">
        <v>468287</v>
      </c>
      <c r="R12" s="90"/>
      <c r="S12" s="89">
        <v>543824</v>
      </c>
      <c r="T12" s="90"/>
      <c r="U12" s="89">
        <v>12633386</v>
      </c>
      <c r="V12" s="90"/>
      <c r="W12" s="89">
        <v>418280</v>
      </c>
      <c r="X12" s="90"/>
      <c r="Y12" s="89">
        <v>1671920</v>
      </c>
      <c r="Z12" s="90"/>
      <c r="AA12" s="89">
        <v>14723587</v>
      </c>
      <c r="AB12" s="90"/>
    </row>
    <row r="13" spans="1:28" x14ac:dyDescent="0.2">
      <c r="A13" s="88">
        <v>1950</v>
      </c>
      <c r="B13" s="89">
        <v>5781230</v>
      </c>
      <c r="C13" s="90"/>
      <c r="D13" s="91">
        <v>992</v>
      </c>
      <c r="E13" s="89">
        <v>3545775</v>
      </c>
      <c r="F13" s="90"/>
      <c r="G13" s="89">
        <v>3959996</v>
      </c>
      <c r="H13" s="90"/>
      <c r="I13" s="89">
        <v>13287993</v>
      </c>
      <c r="J13" s="90"/>
      <c r="K13" s="89">
        <v>69396</v>
      </c>
      <c r="L13" s="90"/>
      <c r="M13" s="91" t="s">
        <v>301</v>
      </c>
      <c r="N13" s="91" t="s">
        <v>301</v>
      </c>
      <c r="O13" s="90"/>
      <c r="P13" s="91" t="s">
        <v>301</v>
      </c>
      <c r="Q13" s="89">
        <v>532237</v>
      </c>
      <c r="R13" s="90"/>
      <c r="S13" s="89">
        <v>601633</v>
      </c>
      <c r="T13" s="90"/>
      <c r="U13" s="89">
        <v>13889626</v>
      </c>
      <c r="V13" s="90"/>
      <c r="W13" s="89">
        <v>499785</v>
      </c>
      <c r="X13" s="90"/>
      <c r="Y13" s="89">
        <v>1852011</v>
      </c>
      <c r="Z13" s="90"/>
      <c r="AA13" s="89">
        <v>16241423</v>
      </c>
      <c r="AB13" s="90"/>
    </row>
    <row r="14" spans="1:28" x14ac:dyDescent="0.2">
      <c r="A14" s="92">
        <v>1951</v>
      </c>
      <c r="B14" s="93">
        <v>6202033</v>
      </c>
      <c r="C14" s="94"/>
      <c r="D14" s="93">
        <v>-21452</v>
      </c>
      <c r="E14" s="93">
        <v>4051750</v>
      </c>
      <c r="F14" s="94"/>
      <c r="G14" s="93">
        <v>4279012</v>
      </c>
      <c r="H14" s="94"/>
      <c r="I14" s="93">
        <v>14511343</v>
      </c>
      <c r="J14" s="94"/>
      <c r="K14" s="93">
        <v>63097</v>
      </c>
      <c r="L14" s="94"/>
      <c r="M14" s="95" t="s">
        <v>301</v>
      </c>
      <c r="N14" s="95" t="s">
        <v>301</v>
      </c>
      <c r="O14" s="94"/>
      <c r="P14" s="95" t="s">
        <v>301</v>
      </c>
      <c r="Q14" s="93">
        <v>552928</v>
      </c>
      <c r="R14" s="94"/>
      <c r="S14" s="93">
        <v>616025</v>
      </c>
      <c r="T14" s="94"/>
      <c r="U14" s="93">
        <v>15127368</v>
      </c>
      <c r="V14" s="94"/>
      <c r="W14" s="93">
        <v>566965</v>
      </c>
      <c r="X14" s="94"/>
      <c r="Y14" s="93">
        <v>1984198</v>
      </c>
      <c r="Z14" s="94"/>
      <c r="AA14" s="93">
        <v>17678532</v>
      </c>
      <c r="AB14" s="94"/>
    </row>
    <row r="15" spans="1:28" x14ac:dyDescent="0.2">
      <c r="A15" s="88">
        <v>1952</v>
      </c>
      <c r="B15" s="89">
        <v>5516614</v>
      </c>
      <c r="C15" s="90"/>
      <c r="D15" s="89">
        <v>-11879</v>
      </c>
      <c r="E15" s="89">
        <v>4180739</v>
      </c>
      <c r="F15" s="90"/>
      <c r="G15" s="89">
        <v>4372896</v>
      </c>
      <c r="H15" s="90"/>
      <c r="I15" s="89">
        <v>14058370</v>
      </c>
      <c r="J15" s="90"/>
      <c r="K15" s="89">
        <v>61538</v>
      </c>
      <c r="L15" s="90"/>
      <c r="M15" s="91" t="s">
        <v>301</v>
      </c>
      <c r="N15" s="91" t="s">
        <v>301</v>
      </c>
      <c r="O15" s="90"/>
      <c r="P15" s="91" t="s">
        <v>301</v>
      </c>
      <c r="Q15" s="89">
        <v>551656</v>
      </c>
      <c r="R15" s="90"/>
      <c r="S15" s="89">
        <v>613194</v>
      </c>
      <c r="T15" s="90"/>
      <c r="U15" s="89">
        <v>14671564</v>
      </c>
      <c r="V15" s="90"/>
      <c r="W15" s="89">
        <v>600947</v>
      </c>
      <c r="X15" s="90"/>
      <c r="Y15" s="89">
        <v>2038851</v>
      </c>
      <c r="Z15" s="90"/>
      <c r="AA15" s="89">
        <v>17311362</v>
      </c>
      <c r="AB15" s="90"/>
    </row>
    <row r="16" spans="1:28" x14ac:dyDescent="0.2">
      <c r="A16" s="88">
        <v>1953</v>
      </c>
      <c r="B16" s="89">
        <v>5931042</v>
      </c>
      <c r="C16" s="90"/>
      <c r="D16" s="89">
        <v>-9002</v>
      </c>
      <c r="E16" s="89">
        <v>4304080</v>
      </c>
      <c r="F16" s="90"/>
      <c r="G16" s="89">
        <v>4490683</v>
      </c>
      <c r="H16" s="90"/>
      <c r="I16" s="89">
        <v>14716803</v>
      </c>
      <c r="J16" s="90"/>
      <c r="K16" s="89">
        <v>56506</v>
      </c>
      <c r="L16" s="90"/>
      <c r="M16" s="91" t="s">
        <v>301</v>
      </c>
      <c r="N16" s="91" t="s">
        <v>301</v>
      </c>
      <c r="O16" s="90"/>
      <c r="P16" s="91" t="s">
        <v>301</v>
      </c>
      <c r="Q16" s="89">
        <v>565897</v>
      </c>
      <c r="R16" s="90"/>
      <c r="S16" s="89">
        <v>622403</v>
      </c>
      <c r="T16" s="90"/>
      <c r="U16" s="89">
        <v>15339206</v>
      </c>
      <c r="V16" s="90"/>
      <c r="W16" s="89">
        <v>677685</v>
      </c>
      <c r="X16" s="90"/>
      <c r="Y16" s="89">
        <v>2194864</v>
      </c>
      <c r="Z16" s="90"/>
      <c r="AA16" s="89">
        <v>18211754</v>
      </c>
      <c r="AB16" s="90"/>
    </row>
    <row r="17" spans="1:28" x14ac:dyDescent="0.2">
      <c r="A17" s="92">
        <v>1954</v>
      </c>
      <c r="B17" s="93">
        <v>4729559</v>
      </c>
      <c r="C17" s="94"/>
      <c r="D17" s="93">
        <v>-6746</v>
      </c>
      <c r="E17" s="93">
        <v>4319248</v>
      </c>
      <c r="F17" s="94"/>
      <c r="G17" s="93">
        <v>4643172</v>
      </c>
      <c r="H17" s="94"/>
      <c r="I17" s="93">
        <v>13685233</v>
      </c>
      <c r="J17" s="94"/>
      <c r="K17" s="93">
        <v>55678</v>
      </c>
      <c r="L17" s="94"/>
      <c r="M17" s="95" t="s">
        <v>301</v>
      </c>
      <c r="N17" s="95" t="s">
        <v>301</v>
      </c>
      <c r="O17" s="94"/>
      <c r="P17" s="95" t="s">
        <v>301</v>
      </c>
      <c r="Q17" s="93">
        <v>576200</v>
      </c>
      <c r="R17" s="94"/>
      <c r="S17" s="93">
        <v>631878</v>
      </c>
      <c r="T17" s="94"/>
      <c r="U17" s="93">
        <v>14317111</v>
      </c>
      <c r="V17" s="94"/>
      <c r="W17" s="93">
        <v>711282</v>
      </c>
      <c r="X17" s="94"/>
      <c r="Y17" s="93">
        <v>2129303</v>
      </c>
      <c r="Z17" s="94"/>
      <c r="AA17" s="93">
        <v>17157695</v>
      </c>
      <c r="AB17" s="94"/>
    </row>
    <row r="18" spans="1:28" x14ac:dyDescent="0.2">
      <c r="A18" s="88">
        <v>1955</v>
      </c>
      <c r="B18" s="89">
        <v>5619559</v>
      </c>
      <c r="C18" s="90"/>
      <c r="D18" s="89">
        <v>-10044</v>
      </c>
      <c r="E18" s="89">
        <v>4700929</v>
      </c>
      <c r="F18" s="90"/>
      <c r="G18" s="89">
        <v>5123251</v>
      </c>
      <c r="H18" s="90"/>
      <c r="I18" s="89">
        <v>15433694</v>
      </c>
      <c r="J18" s="90"/>
      <c r="K18" s="89">
        <v>38149</v>
      </c>
      <c r="L18" s="90"/>
      <c r="M18" s="91" t="s">
        <v>301</v>
      </c>
      <c r="N18" s="91" t="s">
        <v>301</v>
      </c>
      <c r="O18" s="90"/>
      <c r="P18" s="91" t="s">
        <v>301</v>
      </c>
      <c r="Q18" s="89">
        <v>631137</v>
      </c>
      <c r="R18" s="90"/>
      <c r="S18" s="89">
        <v>669286</v>
      </c>
      <c r="T18" s="90"/>
      <c r="U18" s="89">
        <v>16102980</v>
      </c>
      <c r="V18" s="90"/>
      <c r="W18" s="89">
        <v>887033</v>
      </c>
      <c r="X18" s="90"/>
      <c r="Y18" s="89">
        <v>2494595</v>
      </c>
      <c r="Z18" s="90"/>
      <c r="AA18" s="89">
        <v>19484608</v>
      </c>
      <c r="AB18" s="90"/>
    </row>
    <row r="19" spans="1:28" x14ac:dyDescent="0.2">
      <c r="A19" s="88">
        <v>1956</v>
      </c>
      <c r="B19" s="89">
        <v>5666866</v>
      </c>
      <c r="C19" s="90"/>
      <c r="D19" s="89">
        <v>-13020</v>
      </c>
      <c r="E19" s="89">
        <v>4873967</v>
      </c>
      <c r="F19" s="90"/>
      <c r="G19" s="89">
        <v>5349600</v>
      </c>
      <c r="H19" s="90"/>
      <c r="I19" s="89">
        <v>15877413</v>
      </c>
      <c r="J19" s="90"/>
      <c r="K19" s="89">
        <v>36751</v>
      </c>
      <c r="L19" s="90"/>
      <c r="M19" s="91" t="s">
        <v>301</v>
      </c>
      <c r="N19" s="91" t="s">
        <v>301</v>
      </c>
      <c r="O19" s="90"/>
      <c r="P19" s="91" t="s">
        <v>301</v>
      </c>
      <c r="Q19" s="89">
        <v>661409</v>
      </c>
      <c r="R19" s="90"/>
      <c r="S19" s="89">
        <v>698160</v>
      </c>
      <c r="T19" s="90"/>
      <c r="U19" s="89">
        <v>16575573</v>
      </c>
      <c r="V19" s="90"/>
      <c r="W19" s="89">
        <v>975653</v>
      </c>
      <c r="X19" s="90"/>
      <c r="Y19" s="89">
        <v>2658253</v>
      </c>
      <c r="Z19" s="90"/>
      <c r="AA19" s="89">
        <v>20209479</v>
      </c>
      <c r="AB19" s="90"/>
    </row>
    <row r="20" spans="1:28" x14ac:dyDescent="0.2">
      <c r="A20" s="92">
        <v>1957</v>
      </c>
      <c r="B20" s="93">
        <v>5535641</v>
      </c>
      <c r="C20" s="94"/>
      <c r="D20" s="93">
        <v>-17459</v>
      </c>
      <c r="E20" s="93">
        <v>5107288</v>
      </c>
      <c r="F20" s="94"/>
      <c r="G20" s="93">
        <v>5248972</v>
      </c>
      <c r="H20" s="94"/>
      <c r="I20" s="93">
        <v>15874442</v>
      </c>
      <c r="J20" s="94"/>
      <c r="K20" s="93">
        <v>35521</v>
      </c>
      <c r="L20" s="94"/>
      <c r="M20" s="95" t="s">
        <v>301</v>
      </c>
      <c r="N20" s="95" t="s">
        <v>301</v>
      </c>
      <c r="O20" s="94"/>
      <c r="P20" s="95" t="s">
        <v>301</v>
      </c>
      <c r="Q20" s="93">
        <v>616431</v>
      </c>
      <c r="R20" s="94"/>
      <c r="S20" s="93">
        <v>651952</v>
      </c>
      <c r="T20" s="94"/>
      <c r="U20" s="93">
        <v>16526394</v>
      </c>
      <c r="V20" s="94"/>
      <c r="W20" s="93">
        <v>1003093</v>
      </c>
      <c r="X20" s="94"/>
      <c r="Y20" s="93">
        <v>2688771</v>
      </c>
      <c r="Z20" s="94"/>
      <c r="AA20" s="93">
        <v>20218258</v>
      </c>
      <c r="AB20" s="94"/>
    </row>
    <row r="21" spans="1:28" x14ac:dyDescent="0.2">
      <c r="A21" s="88">
        <v>1958</v>
      </c>
      <c r="B21" s="89">
        <v>4532752</v>
      </c>
      <c r="C21" s="90"/>
      <c r="D21" s="89">
        <v>-6721</v>
      </c>
      <c r="E21" s="89">
        <v>5207612</v>
      </c>
      <c r="F21" s="90"/>
      <c r="G21" s="89">
        <v>5422049</v>
      </c>
      <c r="H21" s="90"/>
      <c r="I21" s="89">
        <v>15155692</v>
      </c>
      <c r="J21" s="90"/>
      <c r="K21" s="89">
        <v>37162</v>
      </c>
      <c r="L21" s="90"/>
      <c r="M21" s="91" t="s">
        <v>301</v>
      </c>
      <c r="N21" s="91" t="s">
        <v>301</v>
      </c>
      <c r="O21" s="90"/>
      <c r="P21" s="91" t="s">
        <v>301</v>
      </c>
      <c r="Q21" s="89">
        <v>619647</v>
      </c>
      <c r="R21" s="90"/>
      <c r="S21" s="89">
        <v>656809</v>
      </c>
      <c r="T21" s="90"/>
      <c r="U21" s="89">
        <v>15812501</v>
      </c>
      <c r="V21" s="90"/>
      <c r="W21" s="89">
        <v>977708</v>
      </c>
      <c r="X21" s="90"/>
      <c r="Y21" s="89">
        <v>2530878</v>
      </c>
      <c r="Z21" s="90"/>
      <c r="AA21" s="89">
        <v>19321087</v>
      </c>
      <c r="AB21" s="90"/>
    </row>
    <row r="22" spans="1:28" x14ac:dyDescent="0.2">
      <c r="A22" s="88">
        <v>1959</v>
      </c>
      <c r="B22" s="89">
        <v>4412743</v>
      </c>
      <c r="C22" s="90"/>
      <c r="D22" s="89">
        <v>-8358</v>
      </c>
      <c r="E22" s="89">
        <v>5646563</v>
      </c>
      <c r="F22" s="90"/>
      <c r="G22" s="89">
        <v>5756249</v>
      </c>
      <c r="H22" s="90"/>
      <c r="I22" s="89">
        <v>15807197</v>
      </c>
      <c r="J22" s="90"/>
      <c r="K22" s="89">
        <v>37003</v>
      </c>
      <c r="L22" s="90"/>
      <c r="M22" s="91" t="s">
        <v>301</v>
      </c>
      <c r="N22" s="91" t="s">
        <v>301</v>
      </c>
      <c r="O22" s="90"/>
      <c r="P22" s="91" t="s">
        <v>301</v>
      </c>
      <c r="Q22" s="89">
        <v>691973</v>
      </c>
      <c r="R22" s="90"/>
      <c r="S22" s="89">
        <v>728976</v>
      </c>
      <c r="T22" s="90"/>
      <c r="U22" s="89">
        <v>16536173</v>
      </c>
      <c r="V22" s="90"/>
      <c r="W22" s="89">
        <v>1075239</v>
      </c>
      <c r="X22" s="90"/>
      <c r="Y22" s="89">
        <v>2721789</v>
      </c>
      <c r="Z22" s="90"/>
      <c r="AA22" s="89">
        <v>20333201</v>
      </c>
      <c r="AB22" s="90"/>
    </row>
    <row r="23" spans="1:28" x14ac:dyDescent="0.2">
      <c r="A23" s="92">
        <v>1960</v>
      </c>
      <c r="B23" s="93">
        <v>4543268</v>
      </c>
      <c r="C23" s="94"/>
      <c r="D23" s="93">
        <v>-5630</v>
      </c>
      <c r="E23" s="93">
        <v>5973307</v>
      </c>
      <c r="F23" s="94"/>
      <c r="G23" s="93">
        <v>5765907</v>
      </c>
      <c r="H23" s="94"/>
      <c r="I23" s="93">
        <v>16276852</v>
      </c>
      <c r="J23" s="94"/>
      <c r="K23" s="93">
        <v>38808</v>
      </c>
      <c r="L23" s="94"/>
      <c r="M23" s="95" t="s">
        <v>301</v>
      </c>
      <c r="N23" s="95" t="s">
        <v>301</v>
      </c>
      <c r="O23" s="94"/>
      <c r="P23" s="95" t="s">
        <v>301</v>
      </c>
      <c r="Q23" s="93">
        <v>679864</v>
      </c>
      <c r="R23" s="94"/>
      <c r="S23" s="93">
        <v>718672</v>
      </c>
      <c r="T23" s="94"/>
      <c r="U23" s="93">
        <v>16995524</v>
      </c>
      <c r="V23" s="94"/>
      <c r="W23" s="93">
        <v>1106859</v>
      </c>
      <c r="X23" s="94"/>
      <c r="Y23" s="93">
        <v>2739304</v>
      </c>
      <c r="Z23" s="94"/>
      <c r="AA23" s="93">
        <v>20841687</v>
      </c>
      <c r="AB23" s="94"/>
    </row>
    <row r="24" spans="1:28" x14ac:dyDescent="0.2">
      <c r="A24" s="88">
        <v>1961</v>
      </c>
      <c r="B24" s="89">
        <v>4345141</v>
      </c>
      <c r="C24" s="90"/>
      <c r="D24" s="89">
        <v>-7886</v>
      </c>
      <c r="E24" s="89">
        <v>6169756</v>
      </c>
      <c r="F24" s="90"/>
      <c r="G24" s="89">
        <v>5773791</v>
      </c>
      <c r="H24" s="90"/>
      <c r="I24" s="89">
        <v>16280802</v>
      </c>
      <c r="J24" s="90"/>
      <c r="K24" s="89">
        <v>35836</v>
      </c>
      <c r="L24" s="90"/>
      <c r="M24" s="91" t="s">
        <v>301</v>
      </c>
      <c r="N24" s="91" t="s">
        <v>301</v>
      </c>
      <c r="O24" s="90"/>
      <c r="P24" s="91" t="s">
        <v>301</v>
      </c>
      <c r="Q24" s="89">
        <v>695413</v>
      </c>
      <c r="R24" s="90"/>
      <c r="S24" s="89">
        <v>731249</v>
      </c>
      <c r="T24" s="90"/>
      <c r="U24" s="89">
        <v>17012051</v>
      </c>
      <c r="V24" s="90"/>
      <c r="W24" s="89">
        <v>1149250</v>
      </c>
      <c r="X24" s="90"/>
      <c r="Y24" s="89">
        <v>2793827</v>
      </c>
      <c r="Z24" s="90"/>
      <c r="AA24" s="89">
        <v>20955128</v>
      </c>
      <c r="AB24" s="90"/>
    </row>
    <row r="25" spans="1:28" x14ac:dyDescent="0.2">
      <c r="A25" s="88">
        <v>1962</v>
      </c>
      <c r="B25" s="89">
        <v>4384545</v>
      </c>
      <c r="C25" s="90"/>
      <c r="D25" s="89">
        <v>-5506</v>
      </c>
      <c r="E25" s="89">
        <v>6450960</v>
      </c>
      <c r="F25" s="90"/>
      <c r="G25" s="89">
        <v>6016309</v>
      </c>
      <c r="H25" s="90"/>
      <c r="I25" s="89">
        <v>16846308</v>
      </c>
      <c r="J25" s="90"/>
      <c r="K25" s="89">
        <v>35990</v>
      </c>
      <c r="L25" s="90"/>
      <c r="M25" s="91" t="s">
        <v>301</v>
      </c>
      <c r="N25" s="91" t="s">
        <v>301</v>
      </c>
      <c r="O25" s="90"/>
      <c r="P25" s="91" t="s">
        <v>301</v>
      </c>
      <c r="Q25" s="89">
        <v>728179</v>
      </c>
      <c r="R25" s="90"/>
      <c r="S25" s="89">
        <v>764169</v>
      </c>
      <c r="T25" s="90"/>
      <c r="U25" s="89">
        <v>17610477</v>
      </c>
      <c r="V25" s="90"/>
      <c r="W25" s="89">
        <v>1227821</v>
      </c>
      <c r="X25" s="90"/>
      <c r="Y25" s="89">
        <v>2949893</v>
      </c>
      <c r="Z25" s="90"/>
      <c r="AA25" s="89">
        <v>21788192</v>
      </c>
      <c r="AB25" s="90"/>
    </row>
    <row r="26" spans="1:28" x14ac:dyDescent="0.2">
      <c r="A26" s="92">
        <v>1963</v>
      </c>
      <c r="B26" s="93">
        <v>4589849</v>
      </c>
      <c r="C26" s="94"/>
      <c r="D26" s="93">
        <v>-7390</v>
      </c>
      <c r="E26" s="93">
        <v>6748069</v>
      </c>
      <c r="F26" s="94"/>
      <c r="G26" s="93">
        <v>6248870</v>
      </c>
      <c r="H26" s="94"/>
      <c r="I26" s="93">
        <v>17579398</v>
      </c>
      <c r="J26" s="94"/>
      <c r="K26" s="93">
        <v>33914</v>
      </c>
      <c r="L26" s="94"/>
      <c r="M26" s="95" t="s">
        <v>301</v>
      </c>
      <c r="N26" s="95" t="s">
        <v>301</v>
      </c>
      <c r="O26" s="94"/>
      <c r="P26" s="95" t="s">
        <v>301</v>
      </c>
      <c r="Q26" s="93">
        <v>774843</v>
      </c>
      <c r="R26" s="94"/>
      <c r="S26" s="93">
        <v>808757</v>
      </c>
      <c r="T26" s="94"/>
      <c r="U26" s="93">
        <v>18388155</v>
      </c>
      <c r="V26" s="94"/>
      <c r="W26" s="93">
        <v>1287790</v>
      </c>
      <c r="X26" s="94"/>
      <c r="Y26" s="93">
        <v>3075246</v>
      </c>
      <c r="Z26" s="94"/>
      <c r="AA26" s="93">
        <v>22751190</v>
      </c>
      <c r="AB26" s="94"/>
    </row>
    <row r="27" spans="1:28" x14ac:dyDescent="0.2">
      <c r="A27" s="88">
        <v>1964</v>
      </c>
      <c r="B27" s="89">
        <v>4914603</v>
      </c>
      <c r="C27" s="90"/>
      <c r="D27" s="89">
        <v>-10441</v>
      </c>
      <c r="E27" s="89">
        <v>7113920</v>
      </c>
      <c r="F27" s="90"/>
      <c r="G27" s="89">
        <v>6570769</v>
      </c>
      <c r="H27" s="90"/>
      <c r="I27" s="89">
        <v>18588851</v>
      </c>
      <c r="J27" s="90"/>
      <c r="K27" s="89">
        <v>33772</v>
      </c>
      <c r="L27" s="90"/>
      <c r="M27" s="91" t="s">
        <v>301</v>
      </c>
      <c r="N27" s="91" t="s">
        <v>301</v>
      </c>
      <c r="O27" s="90"/>
      <c r="P27" s="91" t="s">
        <v>301</v>
      </c>
      <c r="Q27" s="89">
        <v>826735</v>
      </c>
      <c r="R27" s="90"/>
      <c r="S27" s="89">
        <v>860507</v>
      </c>
      <c r="T27" s="90"/>
      <c r="U27" s="89">
        <v>19449358</v>
      </c>
      <c r="V27" s="90"/>
      <c r="W27" s="89">
        <v>1382027</v>
      </c>
      <c r="X27" s="90"/>
      <c r="Y27" s="89">
        <v>3279969</v>
      </c>
      <c r="Z27" s="90"/>
      <c r="AA27" s="89">
        <v>24111354</v>
      </c>
      <c r="AB27" s="90"/>
    </row>
    <row r="28" spans="1:28" x14ac:dyDescent="0.2">
      <c r="A28" s="88">
        <v>1965</v>
      </c>
      <c r="B28" s="89">
        <v>5126507</v>
      </c>
      <c r="C28" s="90"/>
      <c r="D28" s="89">
        <v>-18451</v>
      </c>
      <c r="E28" s="89">
        <v>7339214</v>
      </c>
      <c r="F28" s="90"/>
      <c r="G28" s="89">
        <v>6812660</v>
      </c>
      <c r="H28" s="90"/>
      <c r="I28" s="89">
        <v>19259929</v>
      </c>
      <c r="J28" s="90"/>
      <c r="K28" s="89">
        <v>32757</v>
      </c>
      <c r="L28" s="90"/>
      <c r="M28" s="91" t="s">
        <v>301</v>
      </c>
      <c r="N28" s="91" t="s">
        <v>301</v>
      </c>
      <c r="O28" s="90"/>
      <c r="P28" s="91" t="s">
        <v>301</v>
      </c>
      <c r="Q28" s="89">
        <v>854943</v>
      </c>
      <c r="R28" s="90"/>
      <c r="S28" s="89">
        <v>887700</v>
      </c>
      <c r="T28" s="90"/>
      <c r="U28" s="89">
        <v>20147629</v>
      </c>
      <c r="V28" s="90"/>
      <c r="W28" s="89">
        <v>1462817</v>
      </c>
      <c r="X28" s="90"/>
      <c r="Y28" s="89">
        <v>3487168</v>
      </c>
      <c r="Z28" s="90"/>
      <c r="AA28" s="89">
        <v>25097614</v>
      </c>
      <c r="AB28" s="90"/>
    </row>
    <row r="29" spans="1:28" x14ac:dyDescent="0.2">
      <c r="A29" s="92">
        <v>1966</v>
      </c>
      <c r="B29" s="93">
        <v>5214973</v>
      </c>
      <c r="C29" s="94"/>
      <c r="D29" s="93">
        <v>-24949</v>
      </c>
      <c r="E29" s="93">
        <v>7795123</v>
      </c>
      <c r="F29" s="94"/>
      <c r="G29" s="93">
        <v>7134830</v>
      </c>
      <c r="H29" s="94"/>
      <c r="I29" s="93">
        <v>20119978</v>
      </c>
      <c r="J29" s="94"/>
      <c r="K29" s="93">
        <v>33138</v>
      </c>
      <c r="L29" s="94"/>
      <c r="M29" s="95" t="s">
        <v>301</v>
      </c>
      <c r="N29" s="95" t="s">
        <v>301</v>
      </c>
      <c r="O29" s="94"/>
      <c r="P29" s="95" t="s">
        <v>301</v>
      </c>
      <c r="Q29" s="93">
        <v>901916</v>
      </c>
      <c r="R29" s="94"/>
      <c r="S29" s="93">
        <v>935054</v>
      </c>
      <c r="T29" s="94"/>
      <c r="U29" s="93">
        <v>21055032</v>
      </c>
      <c r="V29" s="94"/>
      <c r="W29" s="93">
        <v>1581815</v>
      </c>
      <c r="X29" s="94"/>
      <c r="Y29" s="93">
        <v>3784776</v>
      </c>
      <c r="Z29" s="94"/>
      <c r="AA29" s="93">
        <v>26421623</v>
      </c>
      <c r="AB29" s="94"/>
    </row>
    <row r="30" spans="1:28" x14ac:dyDescent="0.2">
      <c r="A30" s="88">
        <v>1967</v>
      </c>
      <c r="B30" s="89">
        <v>4933631</v>
      </c>
      <c r="C30" s="90"/>
      <c r="D30" s="89">
        <v>-15326</v>
      </c>
      <c r="E30" s="89">
        <v>8043389</v>
      </c>
      <c r="F30" s="90"/>
      <c r="G30" s="89">
        <v>7120806</v>
      </c>
      <c r="H30" s="90"/>
      <c r="I30" s="89">
        <v>20082499</v>
      </c>
      <c r="J30" s="90"/>
      <c r="K30" s="89">
        <v>35787</v>
      </c>
      <c r="L30" s="90"/>
      <c r="M30" s="91" t="s">
        <v>301</v>
      </c>
      <c r="N30" s="91" t="s">
        <v>301</v>
      </c>
      <c r="O30" s="90"/>
      <c r="P30" s="91" t="s">
        <v>301</v>
      </c>
      <c r="Q30" s="89">
        <v>894658</v>
      </c>
      <c r="R30" s="90"/>
      <c r="S30" s="89">
        <v>930445</v>
      </c>
      <c r="T30" s="90"/>
      <c r="U30" s="89">
        <v>21012944</v>
      </c>
      <c r="V30" s="90"/>
      <c r="W30" s="89">
        <v>1654872</v>
      </c>
      <c r="X30" s="90"/>
      <c r="Y30" s="89">
        <v>3946482</v>
      </c>
      <c r="Z30" s="90"/>
      <c r="AA30" s="89">
        <v>26614298</v>
      </c>
      <c r="AB30" s="90"/>
    </row>
    <row r="31" spans="1:28" x14ac:dyDescent="0.2">
      <c r="A31" s="88">
        <v>1968</v>
      </c>
      <c r="B31" s="89">
        <v>4854763</v>
      </c>
      <c r="C31" s="90"/>
      <c r="D31" s="89">
        <v>-17310</v>
      </c>
      <c r="E31" s="89">
        <v>8626478</v>
      </c>
      <c r="F31" s="90"/>
      <c r="G31" s="89">
        <v>7387935</v>
      </c>
      <c r="H31" s="90"/>
      <c r="I31" s="89">
        <v>20851865</v>
      </c>
      <c r="J31" s="90"/>
      <c r="K31" s="89">
        <v>35172</v>
      </c>
      <c r="L31" s="90"/>
      <c r="M31" s="91" t="s">
        <v>301</v>
      </c>
      <c r="N31" s="91" t="s">
        <v>301</v>
      </c>
      <c r="O31" s="90"/>
      <c r="P31" s="91" t="s">
        <v>301</v>
      </c>
      <c r="Q31" s="89">
        <v>981948</v>
      </c>
      <c r="R31" s="90"/>
      <c r="S31" s="89">
        <v>1017120</v>
      </c>
      <c r="T31" s="90"/>
      <c r="U31" s="89">
        <v>21868985</v>
      </c>
      <c r="V31" s="90"/>
      <c r="W31" s="89">
        <v>1778105</v>
      </c>
      <c r="X31" s="90"/>
      <c r="Y31" s="89">
        <v>4236081</v>
      </c>
      <c r="Z31" s="90"/>
      <c r="AA31" s="89">
        <v>27883171</v>
      </c>
      <c r="AB31" s="90"/>
    </row>
    <row r="32" spans="1:28" x14ac:dyDescent="0.2">
      <c r="A32" s="92">
        <v>1969</v>
      </c>
      <c r="B32" s="93">
        <v>4712038</v>
      </c>
      <c r="C32" s="94"/>
      <c r="D32" s="93">
        <v>-36109</v>
      </c>
      <c r="E32" s="93">
        <v>9233790</v>
      </c>
      <c r="F32" s="94"/>
      <c r="G32" s="93">
        <v>7689532</v>
      </c>
      <c r="H32" s="94"/>
      <c r="I32" s="93">
        <v>21599250</v>
      </c>
      <c r="J32" s="94"/>
      <c r="K32" s="93">
        <v>34220</v>
      </c>
      <c r="L32" s="94"/>
      <c r="M32" s="95" t="s">
        <v>301</v>
      </c>
      <c r="N32" s="95" t="s">
        <v>301</v>
      </c>
      <c r="O32" s="94"/>
      <c r="P32" s="95" t="s">
        <v>301</v>
      </c>
      <c r="Q32" s="93">
        <v>1014232</v>
      </c>
      <c r="R32" s="94"/>
      <c r="S32" s="93">
        <v>1048452</v>
      </c>
      <c r="T32" s="94"/>
      <c r="U32" s="93">
        <v>22647702</v>
      </c>
      <c r="V32" s="94"/>
      <c r="W32" s="93">
        <v>1908623</v>
      </c>
      <c r="X32" s="94"/>
      <c r="Y32" s="93">
        <v>4549075</v>
      </c>
      <c r="Z32" s="94"/>
      <c r="AA32" s="93">
        <v>29105400</v>
      </c>
      <c r="AB32" s="94"/>
    </row>
    <row r="33" spans="1:28" x14ac:dyDescent="0.2">
      <c r="A33" s="88">
        <v>1970</v>
      </c>
      <c r="B33" s="89">
        <v>4656202</v>
      </c>
      <c r="C33" s="90"/>
      <c r="D33" s="89">
        <v>-57660</v>
      </c>
      <c r="E33" s="89">
        <v>9536150</v>
      </c>
      <c r="F33" s="90"/>
      <c r="G33" s="89">
        <v>7776257</v>
      </c>
      <c r="H33" s="90"/>
      <c r="I33" s="89">
        <v>21910949</v>
      </c>
      <c r="J33" s="90"/>
      <c r="K33" s="89">
        <v>34040</v>
      </c>
      <c r="L33" s="90"/>
      <c r="M33" s="91" t="s">
        <v>301</v>
      </c>
      <c r="N33" s="91" t="s">
        <v>301</v>
      </c>
      <c r="O33" s="90"/>
      <c r="P33" s="91" t="s">
        <v>301</v>
      </c>
      <c r="Q33" s="89">
        <v>1018911</v>
      </c>
      <c r="R33" s="90"/>
      <c r="S33" s="89">
        <v>1052951</v>
      </c>
      <c r="T33" s="90"/>
      <c r="U33" s="89">
        <v>22963900</v>
      </c>
      <c r="V33" s="90"/>
      <c r="W33" s="89">
        <v>1947755</v>
      </c>
      <c r="X33" s="90"/>
      <c r="Y33" s="89">
        <v>4716246</v>
      </c>
      <c r="Z33" s="90"/>
      <c r="AA33" s="89">
        <v>29627901</v>
      </c>
      <c r="AB33" s="90"/>
    </row>
    <row r="34" spans="1:28" x14ac:dyDescent="0.2">
      <c r="A34" s="88">
        <v>1971</v>
      </c>
      <c r="B34" s="89">
        <v>3943900</v>
      </c>
      <c r="C34" s="90"/>
      <c r="D34" s="89">
        <v>-33108</v>
      </c>
      <c r="E34" s="89">
        <v>9891596</v>
      </c>
      <c r="F34" s="90"/>
      <c r="G34" s="89">
        <v>7843683</v>
      </c>
      <c r="H34" s="90"/>
      <c r="I34" s="89">
        <v>21646072</v>
      </c>
      <c r="J34" s="90"/>
      <c r="K34" s="89">
        <v>33746</v>
      </c>
      <c r="L34" s="90"/>
      <c r="M34" s="91" t="s">
        <v>301</v>
      </c>
      <c r="N34" s="91" t="s">
        <v>301</v>
      </c>
      <c r="O34" s="90"/>
      <c r="P34" s="91" t="s">
        <v>301</v>
      </c>
      <c r="Q34" s="89">
        <v>1039998</v>
      </c>
      <c r="R34" s="90"/>
      <c r="S34" s="89">
        <v>1073744</v>
      </c>
      <c r="T34" s="90"/>
      <c r="U34" s="89">
        <v>22719816</v>
      </c>
      <c r="V34" s="90"/>
      <c r="W34" s="89">
        <v>2011197</v>
      </c>
      <c r="X34" s="90"/>
      <c r="Y34" s="89">
        <v>4854930</v>
      </c>
      <c r="Z34" s="90"/>
      <c r="AA34" s="89">
        <v>29585943</v>
      </c>
      <c r="AB34" s="90"/>
    </row>
    <row r="35" spans="1:28" x14ac:dyDescent="0.2">
      <c r="A35" s="92">
        <v>1972</v>
      </c>
      <c r="B35" s="93">
        <v>3993412</v>
      </c>
      <c r="C35" s="94"/>
      <c r="D35" s="93">
        <v>-25966</v>
      </c>
      <c r="E35" s="93">
        <v>9884277</v>
      </c>
      <c r="F35" s="94"/>
      <c r="G35" s="93">
        <v>8517693</v>
      </c>
      <c r="H35" s="94"/>
      <c r="I35" s="93">
        <v>22369417</v>
      </c>
      <c r="J35" s="94"/>
      <c r="K35" s="93">
        <v>34420</v>
      </c>
      <c r="L35" s="94"/>
      <c r="M35" s="95" t="s">
        <v>301</v>
      </c>
      <c r="N35" s="95" t="s">
        <v>301</v>
      </c>
      <c r="O35" s="94"/>
      <c r="P35" s="95" t="s">
        <v>301</v>
      </c>
      <c r="Q35" s="93">
        <v>1112668</v>
      </c>
      <c r="R35" s="94"/>
      <c r="S35" s="93">
        <v>1147088</v>
      </c>
      <c r="T35" s="94"/>
      <c r="U35" s="93">
        <v>23516505</v>
      </c>
      <c r="V35" s="94"/>
      <c r="W35" s="93">
        <v>2187017</v>
      </c>
      <c r="X35" s="94"/>
      <c r="Y35" s="93">
        <v>5226668</v>
      </c>
      <c r="Z35" s="94"/>
      <c r="AA35" s="93">
        <v>30930189</v>
      </c>
      <c r="AB35" s="94"/>
    </row>
    <row r="36" spans="1:28" x14ac:dyDescent="0.2">
      <c r="A36" s="88">
        <v>1973</v>
      </c>
      <c r="B36" s="89">
        <v>4056731</v>
      </c>
      <c r="C36" s="90"/>
      <c r="D36" s="89">
        <v>-7465</v>
      </c>
      <c r="E36" s="89">
        <v>10388282</v>
      </c>
      <c r="F36" s="90"/>
      <c r="G36" s="89">
        <v>9083224</v>
      </c>
      <c r="H36" s="90"/>
      <c r="I36" s="89">
        <v>23520772</v>
      </c>
      <c r="J36" s="90"/>
      <c r="K36" s="89">
        <v>34773</v>
      </c>
      <c r="L36" s="90"/>
      <c r="M36" s="91" t="s">
        <v>301</v>
      </c>
      <c r="N36" s="91" t="s">
        <v>301</v>
      </c>
      <c r="O36" s="90"/>
      <c r="P36" s="91" t="s">
        <v>301</v>
      </c>
      <c r="Q36" s="89">
        <v>1164853</v>
      </c>
      <c r="R36" s="90"/>
      <c r="S36" s="89">
        <v>1199626</v>
      </c>
      <c r="T36" s="90"/>
      <c r="U36" s="89">
        <v>24720398</v>
      </c>
      <c r="V36" s="90"/>
      <c r="W36" s="89">
        <v>2340923</v>
      </c>
      <c r="X36" s="90"/>
      <c r="Y36" s="89">
        <v>5561947</v>
      </c>
      <c r="Z36" s="90"/>
      <c r="AA36" s="89">
        <v>32623268</v>
      </c>
      <c r="AB36" s="90"/>
    </row>
    <row r="37" spans="1:28" x14ac:dyDescent="0.2">
      <c r="A37" s="88">
        <v>1974</v>
      </c>
      <c r="B37" s="89">
        <v>3870195</v>
      </c>
      <c r="C37" s="90"/>
      <c r="D37" s="89">
        <v>56098</v>
      </c>
      <c r="E37" s="89">
        <v>10003628</v>
      </c>
      <c r="F37" s="90"/>
      <c r="G37" s="89">
        <v>8673656</v>
      </c>
      <c r="H37" s="90"/>
      <c r="I37" s="89">
        <v>22603577</v>
      </c>
      <c r="J37" s="90"/>
      <c r="K37" s="89">
        <v>33202</v>
      </c>
      <c r="L37" s="90"/>
      <c r="M37" s="91" t="s">
        <v>301</v>
      </c>
      <c r="N37" s="91" t="s">
        <v>301</v>
      </c>
      <c r="O37" s="90"/>
      <c r="P37" s="91" t="s">
        <v>301</v>
      </c>
      <c r="Q37" s="89">
        <v>1159074</v>
      </c>
      <c r="R37" s="90"/>
      <c r="S37" s="89">
        <v>1192276</v>
      </c>
      <c r="T37" s="90"/>
      <c r="U37" s="89">
        <v>23795853</v>
      </c>
      <c r="V37" s="90"/>
      <c r="W37" s="89">
        <v>2336794</v>
      </c>
      <c r="X37" s="90"/>
      <c r="Y37" s="89">
        <v>5654538</v>
      </c>
      <c r="Z37" s="90"/>
      <c r="AA37" s="89">
        <v>31787185</v>
      </c>
      <c r="AB37" s="90"/>
    </row>
    <row r="38" spans="1:28" x14ac:dyDescent="0.2">
      <c r="A38" s="92">
        <v>1975</v>
      </c>
      <c r="B38" s="93">
        <v>3666883</v>
      </c>
      <c r="C38" s="94"/>
      <c r="D38" s="93">
        <v>13541</v>
      </c>
      <c r="E38" s="93">
        <v>8531835</v>
      </c>
      <c r="F38" s="94"/>
      <c r="G38" s="93">
        <v>8126514</v>
      </c>
      <c r="H38" s="94"/>
      <c r="I38" s="93">
        <v>20338773</v>
      </c>
      <c r="J38" s="94"/>
      <c r="K38" s="93">
        <v>32321</v>
      </c>
      <c r="L38" s="94"/>
      <c r="M38" s="95" t="s">
        <v>301</v>
      </c>
      <c r="N38" s="95" t="s">
        <v>301</v>
      </c>
      <c r="O38" s="94"/>
      <c r="P38" s="95" t="s">
        <v>301</v>
      </c>
      <c r="Q38" s="93">
        <v>1063270</v>
      </c>
      <c r="R38" s="94"/>
      <c r="S38" s="93">
        <v>1095591</v>
      </c>
      <c r="T38" s="94"/>
      <c r="U38" s="93">
        <v>21434365</v>
      </c>
      <c r="V38" s="94"/>
      <c r="W38" s="93">
        <v>2346363</v>
      </c>
      <c r="X38" s="94"/>
      <c r="Y38" s="93">
        <v>5632290</v>
      </c>
      <c r="Z38" s="94"/>
      <c r="AA38" s="93">
        <v>29413018</v>
      </c>
      <c r="AB38" s="94"/>
    </row>
    <row r="39" spans="1:28" x14ac:dyDescent="0.2">
      <c r="A39" s="88">
        <v>1976</v>
      </c>
      <c r="B39" s="89">
        <v>3660519</v>
      </c>
      <c r="C39" s="90"/>
      <c r="D39" s="91">
        <v>-99</v>
      </c>
      <c r="E39" s="89">
        <v>8761571</v>
      </c>
      <c r="F39" s="90"/>
      <c r="G39" s="89">
        <v>8989930</v>
      </c>
      <c r="H39" s="90"/>
      <c r="I39" s="89">
        <v>21411921</v>
      </c>
      <c r="J39" s="90"/>
      <c r="K39" s="89">
        <v>33372</v>
      </c>
      <c r="L39" s="90"/>
      <c r="M39" s="91" t="s">
        <v>301</v>
      </c>
      <c r="N39" s="91" t="s">
        <v>301</v>
      </c>
      <c r="O39" s="90"/>
      <c r="P39" s="91" t="s">
        <v>301</v>
      </c>
      <c r="Q39" s="89">
        <v>1219876</v>
      </c>
      <c r="R39" s="90"/>
      <c r="S39" s="89">
        <v>1253248</v>
      </c>
      <c r="T39" s="90"/>
      <c r="U39" s="89">
        <v>22665169</v>
      </c>
      <c r="V39" s="90"/>
      <c r="W39" s="89">
        <v>2572883</v>
      </c>
      <c r="X39" s="90"/>
      <c r="Y39" s="89">
        <v>6154769</v>
      </c>
      <c r="Z39" s="90"/>
      <c r="AA39" s="89">
        <v>31392821</v>
      </c>
      <c r="AB39" s="90"/>
    </row>
    <row r="40" spans="1:28" x14ac:dyDescent="0.2">
      <c r="A40" s="88">
        <v>1977</v>
      </c>
      <c r="B40" s="89">
        <v>3454372</v>
      </c>
      <c r="C40" s="90"/>
      <c r="D40" s="89">
        <v>14582</v>
      </c>
      <c r="E40" s="89">
        <v>8635448</v>
      </c>
      <c r="F40" s="90"/>
      <c r="G40" s="89">
        <v>9747048</v>
      </c>
      <c r="H40" s="90"/>
      <c r="I40" s="89">
        <v>21851450</v>
      </c>
      <c r="J40" s="90"/>
      <c r="K40" s="89">
        <v>32601</v>
      </c>
      <c r="L40" s="90"/>
      <c r="M40" s="91" t="s">
        <v>301</v>
      </c>
      <c r="N40" s="91" t="s">
        <v>301</v>
      </c>
      <c r="O40" s="90"/>
      <c r="P40" s="91" t="s">
        <v>301</v>
      </c>
      <c r="Q40" s="89">
        <v>1281245</v>
      </c>
      <c r="R40" s="90"/>
      <c r="S40" s="89">
        <v>1313846</v>
      </c>
      <c r="T40" s="90"/>
      <c r="U40" s="89">
        <v>23165296</v>
      </c>
      <c r="V40" s="90"/>
      <c r="W40" s="89">
        <v>2681959</v>
      </c>
      <c r="X40" s="90"/>
      <c r="Y40" s="89">
        <v>6415755</v>
      </c>
      <c r="Z40" s="90"/>
      <c r="AA40" s="89">
        <v>32263009</v>
      </c>
      <c r="AB40" s="90"/>
    </row>
    <row r="41" spans="1:28" x14ac:dyDescent="0.2">
      <c r="A41" s="92">
        <v>1978</v>
      </c>
      <c r="B41" s="93">
        <v>3313502</v>
      </c>
      <c r="C41" s="94"/>
      <c r="D41" s="93">
        <v>124719</v>
      </c>
      <c r="E41" s="93">
        <v>8539025</v>
      </c>
      <c r="F41" s="94"/>
      <c r="G41" s="93">
        <v>9834786</v>
      </c>
      <c r="H41" s="94"/>
      <c r="I41" s="93">
        <v>21812032</v>
      </c>
      <c r="J41" s="94"/>
      <c r="K41" s="93">
        <v>31563</v>
      </c>
      <c r="L41" s="94"/>
      <c r="M41" s="95" t="s">
        <v>301</v>
      </c>
      <c r="N41" s="95" t="s">
        <v>301</v>
      </c>
      <c r="O41" s="94"/>
      <c r="P41" s="95" t="s">
        <v>301</v>
      </c>
      <c r="Q41" s="93">
        <v>1400424</v>
      </c>
      <c r="R41" s="94"/>
      <c r="S41" s="93">
        <v>1431987</v>
      </c>
      <c r="T41" s="94"/>
      <c r="U41" s="93">
        <v>23244019</v>
      </c>
      <c r="V41" s="94"/>
      <c r="W41" s="93">
        <v>2760574</v>
      </c>
      <c r="X41" s="94"/>
      <c r="Y41" s="93">
        <v>6682956</v>
      </c>
      <c r="Z41" s="94"/>
      <c r="AA41" s="93">
        <v>32687549</v>
      </c>
      <c r="AB41" s="94"/>
    </row>
    <row r="42" spans="1:28" x14ac:dyDescent="0.2">
      <c r="A42" s="88">
        <v>1979</v>
      </c>
      <c r="B42" s="89">
        <v>3592916</v>
      </c>
      <c r="C42" s="90"/>
      <c r="D42" s="89">
        <v>62843</v>
      </c>
      <c r="E42" s="89">
        <v>8549111</v>
      </c>
      <c r="F42" s="90"/>
      <c r="G42" s="89">
        <v>10547987</v>
      </c>
      <c r="H42" s="90"/>
      <c r="I42" s="89">
        <v>22752857</v>
      </c>
      <c r="J42" s="90"/>
      <c r="K42" s="89">
        <v>34094</v>
      </c>
      <c r="L42" s="90"/>
      <c r="M42" s="91" t="s">
        <v>301</v>
      </c>
      <c r="N42" s="91" t="s">
        <v>301</v>
      </c>
      <c r="O42" s="90"/>
      <c r="P42" s="91" t="s">
        <v>301</v>
      </c>
      <c r="Q42" s="89">
        <v>1404862</v>
      </c>
      <c r="R42" s="90"/>
      <c r="S42" s="89">
        <v>1438956</v>
      </c>
      <c r="T42" s="90"/>
      <c r="U42" s="89">
        <v>24191813</v>
      </c>
      <c r="V42" s="90"/>
      <c r="W42" s="89">
        <v>2872573</v>
      </c>
      <c r="X42" s="90"/>
      <c r="Y42" s="89">
        <v>6860351</v>
      </c>
      <c r="Z42" s="90"/>
      <c r="AA42" s="89">
        <v>33924738</v>
      </c>
      <c r="AB42" s="90"/>
    </row>
    <row r="43" spans="1:28" x14ac:dyDescent="0.2">
      <c r="A43" s="88">
        <v>1980</v>
      </c>
      <c r="B43" s="89">
        <v>3155014</v>
      </c>
      <c r="C43" s="90"/>
      <c r="D43" s="89">
        <v>-35018</v>
      </c>
      <c r="E43" s="89">
        <v>8332531</v>
      </c>
      <c r="F43" s="90"/>
      <c r="G43" s="89">
        <v>9509476</v>
      </c>
      <c r="H43" s="90"/>
      <c r="I43" s="89">
        <v>20962004</v>
      </c>
      <c r="J43" s="90"/>
      <c r="K43" s="89">
        <v>32838</v>
      </c>
      <c r="L43" s="90"/>
      <c r="M43" s="91" t="s">
        <v>301</v>
      </c>
      <c r="N43" s="91" t="s">
        <v>301</v>
      </c>
      <c r="O43" s="90"/>
      <c r="P43" s="91" t="s">
        <v>301</v>
      </c>
      <c r="Q43" s="89">
        <v>1600000</v>
      </c>
      <c r="R43" s="90"/>
      <c r="S43" s="89">
        <v>1632838</v>
      </c>
      <c r="T43" s="90"/>
      <c r="U43" s="89">
        <v>22594841</v>
      </c>
      <c r="V43" s="90"/>
      <c r="W43" s="89">
        <v>2781009</v>
      </c>
      <c r="X43" s="90"/>
      <c r="Y43" s="89">
        <v>6663582</v>
      </c>
      <c r="Z43" s="90"/>
      <c r="AA43" s="89">
        <v>32039432</v>
      </c>
      <c r="AB43" s="90"/>
    </row>
    <row r="44" spans="1:28" x14ac:dyDescent="0.2">
      <c r="A44" s="92">
        <v>1981</v>
      </c>
      <c r="B44" s="93">
        <v>3156925</v>
      </c>
      <c r="C44" s="94"/>
      <c r="D44" s="93">
        <v>-15946</v>
      </c>
      <c r="E44" s="93">
        <v>8184540</v>
      </c>
      <c r="F44" s="94"/>
      <c r="G44" s="93">
        <v>8264938</v>
      </c>
      <c r="H44" s="94"/>
      <c r="I44" s="93">
        <v>19590456</v>
      </c>
      <c r="J44" s="94"/>
      <c r="K44" s="93">
        <v>33043</v>
      </c>
      <c r="L44" s="94"/>
      <c r="M44" s="95" t="s">
        <v>301</v>
      </c>
      <c r="N44" s="95" t="s">
        <v>301</v>
      </c>
      <c r="O44" s="94"/>
      <c r="P44" s="95" t="s">
        <v>301</v>
      </c>
      <c r="Q44" s="93">
        <v>1694665</v>
      </c>
      <c r="R44" s="94"/>
      <c r="S44" s="93">
        <v>1727708</v>
      </c>
      <c r="T44" s="94"/>
      <c r="U44" s="93">
        <v>21318164</v>
      </c>
      <c r="V44" s="94"/>
      <c r="W44" s="93">
        <v>2817437</v>
      </c>
      <c r="X44" s="94"/>
      <c r="Y44" s="93">
        <v>6575961</v>
      </c>
      <c r="Z44" s="94"/>
      <c r="AA44" s="93">
        <v>30711562</v>
      </c>
      <c r="AB44" s="94"/>
    </row>
    <row r="45" spans="1:28" x14ac:dyDescent="0.2">
      <c r="A45" s="88">
        <v>1982</v>
      </c>
      <c r="B45" s="89">
        <v>2551983</v>
      </c>
      <c r="C45" s="90"/>
      <c r="D45" s="89">
        <v>-21650</v>
      </c>
      <c r="E45" s="89">
        <v>7067856</v>
      </c>
      <c r="F45" s="90"/>
      <c r="G45" s="89">
        <v>7771903</v>
      </c>
      <c r="H45" s="90"/>
      <c r="I45" s="89">
        <v>17370091</v>
      </c>
      <c r="J45" s="90"/>
      <c r="K45" s="89">
        <v>33046</v>
      </c>
      <c r="L45" s="90"/>
      <c r="M45" s="91" t="s">
        <v>301</v>
      </c>
      <c r="N45" s="91" t="s">
        <v>301</v>
      </c>
      <c r="O45" s="90"/>
      <c r="P45" s="91" t="s">
        <v>301</v>
      </c>
      <c r="Q45" s="89">
        <v>1649682</v>
      </c>
      <c r="R45" s="90"/>
      <c r="S45" s="89">
        <v>1682729</v>
      </c>
      <c r="T45" s="90"/>
      <c r="U45" s="89">
        <v>19052820</v>
      </c>
      <c r="V45" s="90"/>
      <c r="W45" s="89">
        <v>2541766</v>
      </c>
      <c r="X45" s="90"/>
      <c r="Y45" s="89">
        <v>6019913</v>
      </c>
      <c r="Z45" s="90"/>
      <c r="AA45" s="89">
        <v>27614499</v>
      </c>
      <c r="AB45" s="90"/>
    </row>
    <row r="46" spans="1:28" x14ac:dyDescent="0.2">
      <c r="A46" s="88">
        <v>1983</v>
      </c>
      <c r="B46" s="89">
        <v>2489563</v>
      </c>
      <c r="C46" s="90"/>
      <c r="D46" s="89">
        <v>-15624</v>
      </c>
      <c r="E46" s="89">
        <v>6776273</v>
      </c>
      <c r="F46" s="90"/>
      <c r="G46" s="89">
        <v>7390009</v>
      </c>
      <c r="H46" s="90"/>
      <c r="I46" s="89">
        <v>16640221</v>
      </c>
      <c r="J46" s="90"/>
      <c r="K46" s="89">
        <v>33255</v>
      </c>
      <c r="L46" s="90"/>
      <c r="M46" s="91" t="s">
        <v>301</v>
      </c>
      <c r="N46" s="91" t="s">
        <v>301</v>
      </c>
      <c r="O46" s="90"/>
      <c r="P46" s="91" t="s">
        <v>301</v>
      </c>
      <c r="Q46" s="89">
        <v>1874435</v>
      </c>
      <c r="R46" s="90"/>
      <c r="S46" s="89">
        <v>1907690</v>
      </c>
      <c r="T46" s="90"/>
      <c r="U46" s="89">
        <v>18547911</v>
      </c>
      <c r="V46" s="90"/>
      <c r="W46" s="89">
        <v>2647710</v>
      </c>
      <c r="X46" s="90"/>
      <c r="Y46" s="89">
        <v>6232151</v>
      </c>
      <c r="Z46" s="90"/>
      <c r="AA46" s="89">
        <v>27427771</v>
      </c>
      <c r="AB46" s="90"/>
    </row>
    <row r="47" spans="1:28" x14ac:dyDescent="0.2">
      <c r="A47" s="92">
        <v>1984</v>
      </c>
      <c r="B47" s="93">
        <v>2842174</v>
      </c>
      <c r="C47" s="94"/>
      <c r="D47" s="93">
        <v>-11482</v>
      </c>
      <c r="E47" s="93">
        <v>7404995</v>
      </c>
      <c r="F47" s="94"/>
      <c r="G47" s="93">
        <v>7986687</v>
      </c>
      <c r="H47" s="94"/>
      <c r="I47" s="93">
        <v>18222374</v>
      </c>
      <c r="J47" s="94"/>
      <c r="K47" s="93">
        <v>33002</v>
      </c>
      <c r="L47" s="94"/>
      <c r="M47" s="95" t="s">
        <v>301</v>
      </c>
      <c r="N47" s="95" t="s">
        <v>301</v>
      </c>
      <c r="O47" s="94"/>
      <c r="P47" s="95" t="s">
        <v>301</v>
      </c>
      <c r="Q47" s="93">
        <v>1918254</v>
      </c>
      <c r="R47" s="94"/>
      <c r="S47" s="93">
        <v>1951256</v>
      </c>
      <c r="T47" s="94"/>
      <c r="U47" s="93">
        <v>20173630</v>
      </c>
      <c r="V47" s="94"/>
      <c r="W47" s="93">
        <v>2858697</v>
      </c>
      <c r="X47" s="94"/>
      <c r="Y47" s="93">
        <v>6537566</v>
      </c>
      <c r="Z47" s="94"/>
      <c r="AA47" s="93">
        <v>29569892</v>
      </c>
      <c r="AB47" s="94"/>
    </row>
    <row r="48" spans="1:28" x14ac:dyDescent="0.2">
      <c r="A48" s="88">
        <v>1985</v>
      </c>
      <c r="B48" s="89">
        <v>2759927</v>
      </c>
      <c r="C48" s="90"/>
      <c r="D48" s="89">
        <v>-13491</v>
      </c>
      <c r="E48" s="89">
        <v>7031597</v>
      </c>
      <c r="F48" s="90"/>
      <c r="G48" s="89">
        <v>7714121</v>
      </c>
      <c r="H48" s="90"/>
      <c r="I48" s="89">
        <v>17492153</v>
      </c>
      <c r="J48" s="90"/>
      <c r="K48" s="89">
        <v>33024</v>
      </c>
      <c r="L48" s="90"/>
      <c r="M48" s="91" t="s">
        <v>301</v>
      </c>
      <c r="N48" s="91" t="s">
        <v>301</v>
      </c>
      <c r="O48" s="90"/>
      <c r="P48" s="91" t="s">
        <v>301</v>
      </c>
      <c r="Q48" s="89">
        <v>1917674</v>
      </c>
      <c r="R48" s="90"/>
      <c r="S48" s="89">
        <v>1950698</v>
      </c>
      <c r="T48" s="90"/>
      <c r="U48" s="89">
        <v>19442851</v>
      </c>
      <c r="V48" s="90"/>
      <c r="W48" s="89">
        <v>2855066</v>
      </c>
      <c r="X48" s="90"/>
      <c r="Y48" s="89">
        <v>6517893</v>
      </c>
      <c r="Z48" s="90"/>
      <c r="AA48" s="89">
        <v>28815810</v>
      </c>
      <c r="AB48" s="90"/>
    </row>
    <row r="49" spans="1:28" x14ac:dyDescent="0.2">
      <c r="A49" s="88">
        <v>1986</v>
      </c>
      <c r="B49" s="89">
        <v>2640504</v>
      </c>
      <c r="C49" s="90"/>
      <c r="D49" s="89">
        <v>-16740</v>
      </c>
      <c r="E49" s="89">
        <v>6646262</v>
      </c>
      <c r="F49" s="90"/>
      <c r="G49" s="89">
        <v>7860013</v>
      </c>
      <c r="H49" s="90"/>
      <c r="I49" s="89">
        <v>17130039</v>
      </c>
      <c r="J49" s="90"/>
      <c r="K49" s="89">
        <v>33021</v>
      </c>
      <c r="L49" s="90"/>
      <c r="M49" s="91" t="s">
        <v>301</v>
      </c>
      <c r="N49" s="91" t="s">
        <v>301</v>
      </c>
      <c r="O49" s="90"/>
      <c r="P49" s="91" t="s">
        <v>301</v>
      </c>
      <c r="Q49" s="89">
        <v>1914901</v>
      </c>
      <c r="R49" s="90"/>
      <c r="S49" s="89">
        <v>1947923</v>
      </c>
      <c r="T49" s="90"/>
      <c r="U49" s="89">
        <v>19077962</v>
      </c>
      <c r="V49" s="90"/>
      <c r="W49" s="89">
        <v>2833770</v>
      </c>
      <c r="X49" s="90"/>
      <c r="Y49" s="89">
        <v>6361836</v>
      </c>
      <c r="Z49" s="90"/>
      <c r="AA49" s="89">
        <v>28273568</v>
      </c>
      <c r="AB49" s="90"/>
    </row>
    <row r="50" spans="1:28" x14ac:dyDescent="0.2">
      <c r="A50" s="92">
        <v>1987</v>
      </c>
      <c r="B50" s="93">
        <v>2672911</v>
      </c>
      <c r="C50" s="94"/>
      <c r="D50" s="93">
        <v>8630</v>
      </c>
      <c r="E50" s="93">
        <v>7282837</v>
      </c>
      <c r="F50" s="94"/>
      <c r="G50" s="93">
        <v>8041937</v>
      </c>
      <c r="H50" s="94"/>
      <c r="I50" s="93">
        <v>18006315</v>
      </c>
      <c r="J50" s="94"/>
      <c r="K50" s="93">
        <v>32936</v>
      </c>
      <c r="L50" s="94"/>
      <c r="M50" s="95" t="s">
        <v>301</v>
      </c>
      <c r="N50" s="95" t="s">
        <v>301</v>
      </c>
      <c r="O50" s="94"/>
      <c r="P50" s="95" t="s">
        <v>301</v>
      </c>
      <c r="Q50" s="93">
        <v>1913881</v>
      </c>
      <c r="R50" s="94"/>
      <c r="S50" s="93">
        <v>1946817</v>
      </c>
      <c r="T50" s="94"/>
      <c r="U50" s="93">
        <v>19953132</v>
      </c>
      <c r="V50" s="94"/>
      <c r="W50" s="93">
        <v>2928291</v>
      </c>
      <c r="X50" s="94"/>
      <c r="Y50" s="93">
        <v>6497463</v>
      </c>
      <c r="Z50" s="94"/>
      <c r="AA50" s="93">
        <v>29378886</v>
      </c>
      <c r="AB50" s="94"/>
    </row>
    <row r="51" spans="1:28" x14ac:dyDescent="0.2">
      <c r="A51" s="88">
        <v>1988</v>
      </c>
      <c r="B51" s="89">
        <v>2827555</v>
      </c>
      <c r="C51" s="90"/>
      <c r="D51" s="89">
        <v>39556</v>
      </c>
      <c r="E51" s="89">
        <v>7655459</v>
      </c>
      <c r="F51" s="90"/>
      <c r="G51" s="89">
        <v>8317485</v>
      </c>
      <c r="H51" s="90"/>
      <c r="I51" s="89">
        <v>18840055</v>
      </c>
      <c r="J51" s="90"/>
      <c r="K51" s="89">
        <v>32635</v>
      </c>
      <c r="L51" s="90"/>
      <c r="M51" s="91" t="s">
        <v>301</v>
      </c>
      <c r="N51" s="91" t="s">
        <v>301</v>
      </c>
      <c r="O51" s="90"/>
      <c r="P51" s="91" t="s">
        <v>301</v>
      </c>
      <c r="Q51" s="89">
        <v>1989102</v>
      </c>
      <c r="R51" s="90"/>
      <c r="S51" s="89">
        <v>2021738</v>
      </c>
      <c r="T51" s="90"/>
      <c r="U51" s="89">
        <v>20861792</v>
      </c>
      <c r="V51" s="90"/>
      <c r="W51" s="89">
        <v>3058852</v>
      </c>
      <c r="X51" s="90"/>
      <c r="Y51" s="89">
        <v>6756742</v>
      </c>
      <c r="Z51" s="90"/>
      <c r="AA51" s="89">
        <v>30677386</v>
      </c>
      <c r="AB51" s="90"/>
    </row>
    <row r="52" spans="1:28" x14ac:dyDescent="0.2">
      <c r="A52" s="88">
        <v>1989</v>
      </c>
      <c r="B52" s="89">
        <v>2787002</v>
      </c>
      <c r="C52" s="90"/>
      <c r="D52" s="89">
        <v>30405</v>
      </c>
      <c r="E52" s="89">
        <v>8087553</v>
      </c>
      <c r="F52" s="90"/>
      <c r="G52" s="89">
        <v>8097977</v>
      </c>
      <c r="H52" s="90"/>
      <c r="I52" s="89">
        <v>19002936</v>
      </c>
      <c r="J52" s="90"/>
      <c r="K52" s="89">
        <v>28396</v>
      </c>
      <c r="L52" s="90"/>
      <c r="M52" s="89">
        <v>1800</v>
      </c>
      <c r="N52" s="91" t="s">
        <v>302</v>
      </c>
      <c r="O52" s="90"/>
      <c r="P52" s="91" t="s">
        <v>302</v>
      </c>
      <c r="Q52" s="89">
        <v>1840751</v>
      </c>
      <c r="R52" s="90"/>
      <c r="S52" s="89">
        <v>1870947</v>
      </c>
      <c r="T52" s="90"/>
      <c r="U52" s="89">
        <v>20873883</v>
      </c>
      <c r="V52" s="90"/>
      <c r="W52" s="89">
        <v>3158347</v>
      </c>
      <c r="X52" s="90"/>
      <c r="Y52" s="89">
        <v>7287656</v>
      </c>
      <c r="Z52" s="90"/>
      <c r="AA52" s="89">
        <v>31319887</v>
      </c>
      <c r="AB52" s="90"/>
    </row>
    <row r="53" spans="1:28" x14ac:dyDescent="0.2">
      <c r="A53" s="92">
        <v>1990</v>
      </c>
      <c r="B53" s="93">
        <v>2756008</v>
      </c>
      <c r="C53" s="94"/>
      <c r="D53" s="93">
        <v>4786</v>
      </c>
      <c r="E53" s="93">
        <v>8451066</v>
      </c>
      <c r="F53" s="94"/>
      <c r="G53" s="93">
        <v>8251147</v>
      </c>
      <c r="H53" s="94"/>
      <c r="I53" s="93">
        <v>19463009</v>
      </c>
      <c r="J53" s="94"/>
      <c r="K53" s="93">
        <v>30947</v>
      </c>
      <c r="L53" s="94"/>
      <c r="M53" s="93">
        <v>1900</v>
      </c>
      <c r="N53" s="95" t="s">
        <v>302</v>
      </c>
      <c r="O53" s="94"/>
      <c r="P53" s="95" t="s">
        <v>302</v>
      </c>
      <c r="Q53" s="93">
        <v>1684186</v>
      </c>
      <c r="R53" s="94"/>
      <c r="S53" s="93">
        <v>1717033</v>
      </c>
      <c r="T53" s="94"/>
      <c r="U53" s="93">
        <v>21180042</v>
      </c>
      <c r="V53" s="94"/>
      <c r="W53" s="93">
        <v>3226120</v>
      </c>
      <c r="X53" s="94"/>
      <c r="Y53" s="93">
        <v>7403614</v>
      </c>
      <c r="Z53" s="94"/>
      <c r="AA53" s="93">
        <v>31809775</v>
      </c>
      <c r="AB53" s="94"/>
    </row>
    <row r="54" spans="1:28" x14ac:dyDescent="0.2">
      <c r="A54" s="88">
        <v>1991</v>
      </c>
      <c r="B54" s="89">
        <v>2600840</v>
      </c>
      <c r="C54" s="90"/>
      <c r="D54" s="89">
        <v>9697</v>
      </c>
      <c r="E54" s="89">
        <v>8572317</v>
      </c>
      <c r="F54" s="90"/>
      <c r="G54" s="89">
        <v>7957831</v>
      </c>
      <c r="H54" s="90"/>
      <c r="I54" s="89">
        <v>19140684</v>
      </c>
      <c r="J54" s="90"/>
      <c r="K54" s="89">
        <v>29675</v>
      </c>
      <c r="L54" s="90"/>
      <c r="M54" s="89">
        <v>2100</v>
      </c>
      <c r="N54" s="91" t="s">
        <v>302</v>
      </c>
      <c r="O54" s="90"/>
      <c r="P54" s="91" t="s">
        <v>302</v>
      </c>
      <c r="Q54" s="89">
        <v>1651985</v>
      </c>
      <c r="R54" s="90"/>
      <c r="S54" s="89">
        <v>1683760</v>
      </c>
      <c r="T54" s="90"/>
      <c r="U54" s="89">
        <v>20824444</v>
      </c>
      <c r="V54" s="90"/>
      <c r="W54" s="89">
        <v>3229743</v>
      </c>
      <c r="X54" s="90"/>
      <c r="Y54" s="89">
        <v>7345119</v>
      </c>
      <c r="Z54" s="90"/>
      <c r="AA54" s="89">
        <v>31399305</v>
      </c>
      <c r="AB54" s="90"/>
    </row>
    <row r="55" spans="1:28" x14ac:dyDescent="0.2">
      <c r="A55" s="88">
        <v>1992</v>
      </c>
      <c r="B55" s="89">
        <v>2514821</v>
      </c>
      <c r="C55" s="90"/>
      <c r="D55" s="89">
        <v>34621</v>
      </c>
      <c r="E55" s="89">
        <v>8917798</v>
      </c>
      <c r="F55" s="90"/>
      <c r="G55" s="89">
        <v>8551838</v>
      </c>
      <c r="H55" s="90"/>
      <c r="I55" s="89">
        <v>20019078</v>
      </c>
      <c r="J55" s="90"/>
      <c r="K55" s="89">
        <v>30508</v>
      </c>
      <c r="L55" s="90"/>
      <c r="M55" s="89">
        <v>2200</v>
      </c>
      <c r="N55" s="91" t="s">
        <v>302</v>
      </c>
      <c r="O55" s="90"/>
      <c r="P55" s="91" t="s">
        <v>302</v>
      </c>
      <c r="Q55" s="89">
        <v>1704533</v>
      </c>
      <c r="R55" s="90"/>
      <c r="S55" s="89">
        <v>1737241</v>
      </c>
      <c r="T55" s="90"/>
      <c r="U55" s="89">
        <v>21756319</v>
      </c>
      <c r="V55" s="90"/>
      <c r="W55" s="89">
        <v>3318900</v>
      </c>
      <c r="X55" s="90"/>
      <c r="Y55" s="89">
        <v>7495614</v>
      </c>
      <c r="Z55" s="90"/>
      <c r="AA55" s="89">
        <v>32570834</v>
      </c>
      <c r="AB55" s="90"/>
    </row>
    <row r="56" spans="1:28" x14ac:dyDescent="0.2">
      <c r="A56" s="92">
        <v>1993</v>
      </c>
      <c r="B56" s="93">
        <v>2496288</v>
      </c>
      <c r="C56" s="94"/>
      <c r="D56" s="93">
        <v>27106</v>
      </c>
      <c r="E56" s="93">
        <v>9070486</v>
      </c>
      <c r="F56" s="94"/>
      <c r="G56" s="93">
        <v>8386466</v>
      </c>
      <c r="H56" s="94"/>
      <c r="I56" s="93">
        <v>19980346</v>
      </c>
      <c r="J56" s="94"/>
      <c r="K56" s="93">
        <v>29593</v>
      </c>
      <c r="L56" s="94"/>
      <c r="M56" s="93">
        <v>2400</v>
      </c>
      <c r="N56" s="95" t="s">
        <v>302</v>
      </c>
      <c r="O56" s="94"/>
      <c r="P56" s="95" t="s">
        <v>302</v>
      </c>
      <c r="Q56" s="93">
        <v>1740708</v>
      </c>
      <c r="R56" s="94"/>
      <c r="S56" s="93">
        <v>1772701</v>
      </c>
      <c r="T56" s="94"/>
      <c r="U56" s="93">
        <v>21753048</v>
      </c>
      <c r="V56" s="94"/>
      <c r="W56" s="93">
        <v>3334084</v>
      </c>
      <c r="X56" s="94"/>
      <c r="Y56" s="93">
        <v>7541408</v>
      </c>
      <c r="Z56" s="94"/>
      <c r="AA56" s="93">
        <v>32628541</v>
      </c>
      <c r="AB56" s="94"/>
    </row>
    <row r="57" spans="1:28" x14ac:dyDescent="0.2">
      <c r="A57" s="88">
        <v>1994</v>
      </c>
      <c r="B57" s="89">
        <v>2509686</v>
      </c>
      <c r="C57" s="90"/>
      <c r="D57" s="89">
        <v>58330</v>
      </c>
      <c r="E57" s="89">
        <v>9126046</v>
      </c>
      <c r="F57" s="90"/>
      <c r="G57" s="89">
        <v>8771237</v>
      </c>
      <c r="H57" s="90"/>
      <c r="I57" s="89">
        <v>20465298</v>
      </c>
      <c r="J57" s="90"/>
      <c r="K57" s="89">
        <v>62186</v>
      </c>
      <c r="L57" s="90"/>
      <c r="M57" s="89">
        <v>2800</v>
      </c>
      <c r="N57" s="91" t="s">
        <v>302</v>
      </c>
      <c r="O57" s="90"/>
      <c r="P57" s="91" t="s">
        <v>302</v>
      </c>
      <c r="Q57" s="89">
        <v>1862383</v>
      </c>
      <c r="R57" s="90"/>
      <c r="S57" s="89">
        <v>1927369</v>
      </c>
      <c r="T57" s="90"/>
      <c r="U57" s="89">
        <v>22392668</v>
      </c>
      <c r="V57" s="90"/>
      <c r="W57" s="89">
        <v>3439232</v>
      </c>
      <c r="X57" s="90"/>
      <c r="Y57" s="89">
        <v>7689308</v>
      </c>
      <c r="Z57" s="90"/>
      <c r="AA57" s="89">
        <v>33521208</v>
      </c>
      <c r="AB57" s="90"/>
    </row>
    <row r="58" spans="1:28" x14ac:dyDescent="0.2">
      <c r="A58" s="88">
        <v>1995</v>
      </c>
      <c r="B58" s="89">
        <v>2488267</v>
      </c>
      <c r="C58" s="90"/>
      <c r="D58" s="89">
        <v>61058</v>
      </c>
      <c r="E58" s="89">
        <v>9591824</v>
      </c>
      <c r="F58" s="90"/>
      <c r="G58" s="89">
        <v>8586002</v>
      </c>
      <c r="H58" s="90"/>
      <c r="I58" s="89">
        <v>20727151</v>
      </c>
      <c r="J58" s="90"/>
      <c r="K58" s="89">
        <v>54695</v>
      </c>
      <c r="L58" s="90"/>
      <c r="M58" s="89">
        <v>3000</v>
      </c>
      <c r="N58" s="91" t="s">
        <v>302</v>
      </c>
      <c r="O58" s="90"/>
      <c r="P58" s="91" t="s">
        <v>302</v>
      </c>
      <c r="Q58" s="89">
        <v>1934272</v>
      </c>
      <c r="R58" s="90"/>
      <c r="S58" s="89">
        <v>1991967</v>
      </c>
      <c r="T58" s="90"/>
      <c r="U58" s="89">
        <v>22719118</v>
      </c>
      <c r="V58" s="90"/>
      <c r="W58" s="89">
        <v>3455310</v>
      </c>
      <c r="X58" s="90"/>
      <c r="Y58" s="89">
        <v>7796149</v>
      </c>
      <c r="Z58" s="90"/>
      <c r="AA58" s="89">
        <v>33970577</v>
      </c>
      <c r="AB58" s="90"/>
    </row>
    <row r="59" spans="1:28" x14ac:dyDescent="0.2">
      <c r="A59" s="92">
        <v>1996</v>
      </c>
      <c r="B59" s="93">
        <v>2434394</v>
      </c>
      <c r="C59" s="94"/>
      <c r="D59" s="93">
        <v>22816</v>
      </c>
      <c r="E59" s="93">
        <v>9900567</v>
      </c>
      <c r="F59" s="94"/>
      <c r="G59" s="93">
        <v>9019361</v>
      </c>
      <c r="H59" s="94"/>
      <c r="I59" s="93">
        <v>21377138</v>
      </c>
      <c r="J59" s="94"/>
      <c r="K59" s="93">
        <v>60773</v>
      </c>
      <c r="L59" s="94"/>
      <c r="M59" s="93">
        <v>2900</v>
      </c>
      <c r="N59" s="95" t="s">
        <v>302</v>
      </c>
      <c r="O59" s="94"/>
      <c r="P59" s="95" t="s">
        <v>302</v>
      </c>
      <c r="Q59" s="93">
        <v>1969032</v>
      </c>
      <c r="R59" s="94"/>
      <c r="S59" s="93">
        <v>2032706</v>
      </c>
      <c r="T59" s="94"/>
      <c r="U59" s="93">
        <v>23409844</v>
      </c>
      <c r="V59" s="94"/>
      <c r="W59" s="93">
        <v>3526750</v>
      </c>
      <c r="X59" s="94"/>
      <c r="Y59" s="93">
        <v>7967551</v>
      </c>
      <c r="Z59" s="94"/>
      <c r="AA59" s="93">
        <v>34904146</v>
      </c>
      <c r="AB59" s="94"/>
    </row>
    <row r="60" spans="1:28" x14ac:dyDescent="0.2">
      <c r="A60" s="88">
        <v>1997</v>
      </c>
      <c r="B60" s="89">
        <v>2395064</v>
      </c>
      <c r="C60" s="90"/>
      <c r="D60" s="89">
        <v>46450</v>
      </c>
      <c r="E60" s="89">
        <v>9932937</v>
      </c>
      <c r="F60" s="90"/>
      <c r="G60" s="89">
        <v>9254573</v>
      </c>
      <c r="H60" s="90"/>
      <c r="I60" s="89">
        <v>21629024</v>
      </c>
      <c r="J60" s="90"/>
      <c r="K60" s="89">
        <v>58062</v>
      </c>
      <c r="L60" s="90"/>
      <c r="M60" s="89">
        <v>3100</v>
      </c>
      <c r="N60" s="91" t="s">
        <v>302</v>
      </c>
      <c r="O60" s="90"/>
      <c r="P60" s="91" t="s">
        <v>302</v>
      </c>
      <c r="Q60" s="89">
        <v>1995998</v>
      </c>
      <c r="R60" s="90"/>
      <c r="S60" s="89">
        <v>2057160</v>
      </c>
      <c r="T60" s="90"/>
      <c r="U60" s="89">
        <v>23686184</v>
      </c>
      <c r="V60" s="90"/>
      <c r="W60" s="89">
        <v>3542328</v>
      </c>
      <c r="X60" s="90"/>
      <c r="Y60" s="89">
        <v>7971793</v>
      </c>
      <c r="Z60" s="90"/>
      <c r="AA60" s="89">
        <v>35200305</v>
      </c>
      <c r="AB60" s="90"/>
    </row>
    <row r="61" spans="1:28" x14ac:dyDescent="0.2">
      <c r="A61" s="88">
        <v>1998</v>
      </c>
      <c r="B61" s="89">
        <v>2335259</v>
      </c>
      <c r="C61" s="90"/>
      <c r="D61" s="89">
        <v>67084</v>
      </c>
      <c r="E61" s="89">
        <v>9763364</v>
      </c>
      <c r="F61" s="90"/>
      <c r="G61" s="89">
        <v>9081827</v>
      </c>
      <c r="H61" s="90"/>
      <c r="I61" s="89">
        <v>21247533</v>
      </c>
      <c r="J61" s="90"/>
      <c r="K61" s="89">
        <v>54539</v>
      </c>
      <c r="L61" s="90"/>
      <c r="M61" s="89">
        <v>3000</v>
      </c>
      <c r="N61" s="91" t="s">
        <v>302</v>
      </c>
      <c r="O61" s="90"/>
      <c r="P61" s="91" t="s">
        <v>302</v>
      </c>
      <c r="Q61" s="89">
        <v>1871690</v>
      </c>
      <c r="R61" s="90"/>
      <c r="S61" s="89">
        <v>1929230</v>
      </c>
      <c r="T61" s="90"/>
      <c r="U61" s="89">
        <v>23176763</v>
      </c>
      <c r="V61" s="90"/>
      <c r="W61" s="89">
        <v>3586705</v>
      </c>
      <c r="X61" s="90"/>
      <c r="Y61" s="89">
        <v>8079168</v>
      </c>
      <c r="Z61" s="90"/>
      <c r="AA61" s="89">
        <v>34842636</v>
      </c>
      <c r="AB61" s="90"/>
    </row>
    <row r="62" spans="1:28" x14ac:dyDescent="0.2">
      <c r="A62" s="92">
        <v>1999</v>
      </c>
      <c r="B62" s="93">
        <v>2226783</v>
      </c>
      <c r="C62" s="94"/>
      <c r="D62" s="93">
        <v>57685</v>
      </c>
      <c r="E62" s="93">
        <v>9375302</v>
      </c>
      <c r="F62" s="94"/>
      <c r="G62" s="93">
        <v>9356087</v>
      </c>
      <c r="H62" s="94"/>
      <c r="I62" s="93">
        <v>21015857</v>
      </c>
      <c r="J62" s="94"/>
      <c r="K62" s="93">
        <v>48658</v>
      </c>
      <c r="L62" s="94"/>
      <c r="M62" s="93">
        <v>4100</v>
      </c>
      <c r="N62" s="95" t="s">
        <v>302</v>
      </c>
      <c r="O62" s="94"/>
      <c r="P62" s="95" t="s">
        <v>302</v>
      </c>
      <c r="Q62" s="93">
        <v>1881523</v>
      </c>
      <c r="R62" s="94"/>
      <c r="S62" s="93">
        <v>1934282</v>
      </c>
      <c r="T62" s="94"/>
      <c r="U62" s="93">
        <v>22950139</v>
      </c>
      <c r="V62" s="94"/>
      <c r="W62" s="93">
        <v>3610635</v>
      </c>
      <c r="X62" s="94"/>
      <c r="Y62" s="93">
        <v>8203158</v>
      </c>
      <c r="Z62" s="94"/>
      <c r="AA62" s="93">
        <v>34763932</v>
      </c>
      <c r="AB62" s="94"/>
    </row>
    <row r="63" spans="1:28" x14ac:dyDescent="0.2">
      <c r="A63" s="88">
        <v>2000</v>
      </c>
      <c r="B63" s="89">
        <v>2256498</v>
      </c>
      <c r="C63" s="90"/>
      <c r="D63" s="89">
        <v>65348</v>
      </c>
      <c r="E63" s="89">
        <v>9499794</v>
      </c>
      <c r="F63" s="96" t="s">
        <v>303</v>
      </c>
      <c r="G63" s="89">
        <v>9074565</v>
      </c>
      <c r="H63" s="90"/>
      <c r="I63" s="89">
        <v>20896206</v>
      </c>
      <c r="J63" s="96" t="s">
        <v>303</v>
      </c>
      <c r="K63" s="89">
        <v>42183</v>
      </c>
      <c r="L63" s="90"/>
      <c r="M63" s="89">
        <v>4400</v>
      </c>
      <c r="N63" s="91" t="s">
        <v>302</v>
      </c>
      <c r="O63" s="90"/>
      <c r="P63" s="91" t="s">
        <v>302</v>
      </c>
      <c r="Q63" s="89">
        <v>1881485</v>
      </c>
      <c r="R63" s="90"/>
      <c r="S63" s="89">
        <v>1928068</v>
      </c>
      <c r="T63" s="90"/>
      <c r="U63" s="89">
        <v>22824273</v>
      </c>
      <c r="V63" s="96" t="s">
        <v>303</v>
      </c>
      <c r="W63" s="89">
        <v>3631185</v>
      </c>
      <c r="X63" s="90"/>
      <c r="Y63" s="89">
        <v>8208076</v>
      </c>
      <c r="Z63" s="96" t="s">
        <v>303</v>
      </c>
      <c r="AA63" s="89">
        <v>34663534</v>
      </c>
      <c r="AB63" s="96" t="s">
        <v>303</v>
      </c>
    </row>
    <row r="64" spans="1:28" x14ac:dyDescent="0.2">
      <c r="A64" s="88">
        <v>2001</v>
      </c>
      <c r="B64" s="89">
        <v>2191638</v>
      </c>
      <c r="C64" s="90"/>
      <c r="D64" s="89">
        <v>29260</v>
      </c>
      <c r="E64" s="89">
        <v>8676343</v>
      </c>
      <c r="F64" s="90"/>
      <c r="G64" s="89">
        <v>9177924</v>
      </c>
      <c r="H64" s="90"/>
      <c r="I64" s="89">
        <v>20075165</v>
      </c>
      <c r="J64" s="90"/>
      <c r="K64" s="89">
        <v>32500</v>
      </c>
      <c r="L64" s="90"/>
      <c r="M64" s="89">
        <v>4760</v>
      </c>
      <c r="N64" s="91" t="s">
        <v>302</v>
      </c>
      <c r="O64" s="90"/>
      <c r="P64" s="91" t="s">
        <v>302</v>
      </c>
      <c r="Q64" s="89">
        <v>1681426</v>
      </c>
      <c r="R64" s="90"/>
      <c r="S64" s="89">
        <v>1718686</v>
      </c>
      <c r="T64" s="90"/>
      <c r="U64" s="89">
        <v>21793850</v>
      </c>
      <c r="V64" s="90"/>
      <c r="W64" s="89">
        <v>3400431</v>
      </c>
      <c r="X64" s="90"/>
      <c r="Y64" s="89">
        <v>7525956</v>
      </c>
      <c r="Z64" s="90"/>
      <c r="AA64" s="89">
        <v>32720237</v>
      </c>
      <c r="AB64" s="90"/>
    </row>
    <row r="65" spans="1:28" x14ac:dyDescent="0.2">
      <c r="A65" s="92">
        <v>2002</v>
      </c>
      <c r="B65" s="93">
        <v>2019358</v>
      </c>
      <c r="C65" s="94"/>
      <c r="D65" s="93">
        <v>60758</v>
      </c>
      <c r="E65" s="93">
        <v>8831570</v>
      </c>
      <c r="F65" s="97" t="s">
        <v>303</v>
      </c>
      <c r="G65" s="93">
        <v>9167688</v>
      </c>
      <c r="H65" s="94"/>
      <c r="I65" s="93">
        <v>20079374</v>
      </c>
      <c r="J65" s="97" t="s">
        <v>303</v>
      </c>
      <c r="K65" s="93">
        <v>38908</v>
      </c>
      <c r="L65" s="94"/>
      <c r="M65" s="93">
        <v>4787</v>
      </c>
      <c r="N65" s="95" t="s">
        <v>302</v>
      </c>
      <c r="O65" s="94"/>
      <c r="P65" s="95" t="s">
        <v>302</v>
      </c>
      <c r="Q65" s="93">
        <v>1675979</v>
      </c>
      <c r="R65" s="94"/>
      <c r="S65" s="93">
        <v>1719674</v>
      </c>
      <c r="T65" s="94"/>
      <c r="U65" s="93">
        <v>21799048</v>
      </c>
      <c r="V65" s="97" t="s">
        <v>303</v>
      </c>
      <c r="W65" s="93">
        <v>3378691</v>
      </c>
      <c r="X65" s="94"/>
      <c r="Y65" s="93">
        <v>7484250</v>
      </c>
      <c r="Z65" s="97" t="s">
        <v>303</v>
      </c>
      <c r="AA65" s="93">
        <v>32661988</v>
      </c>
      <c r="AB65" s="97" t="s">
        <v>303</v>
      </c>
    </row>
    <row r="66" spans="1:28" x14ac:dyDescent="0.2">
      <c r="A66" s="88">
        <v>2003</v>
      </c>
      <c r="B66" s="89">
        <v>2041412</v>
      </c>
      <c r="C66" s="90"/>
      <c r="D66" s="89">
        <v>50515</v>
      </c>
      <c r="E66" s="89">
        <v>8488339</v>
      </c>
      <c r="F66" s="90"/>
      <c r="G66" s="89">
        <v>9197118</v>
      </c>
      <c r="H66" s="90"/>
      <c r="I66" s="89">
        <v>19777384</v>
      </c>
      <c r="J66" s="96" t="s">
        <v>303</v>
      </c>
      <c r="K66" s="89">
        <v>43242</v>
      </c>
      <c r="L66" s="90"/>
      <c r="M66" s="89">
        <v>3400</v>
      </c>
      <c r="N66" s="91" t="s">
        <v>302</v>
      </c>
      <c r="O66" s="90"/>
      <c r="P66" s="91" t="s">
        <v>302</v>
      </c>
      <c r="Q66" s="89">
        <v>1678863</v>
      </c>
      <c r="R66" s="90"/>
      <c r="S66" s="89">
        <v>1725505</v>
      </c>
      <c r="T66" s="90"/>
      <c r="U66" s="89">
        <v>21502889</v>
      </c>
      <c r="V66" s="96" t="s">
        <v>303</v>
      </c>
      <c r="W66" s="89">
        <v>3454218</v>
      </c>
      <c r="X66" s="90"/>
      <c r="Y66" s="89">
        <v>7575004</v>
      </c>
      <c r="Z66" s="90"/>
      <c r="AA66" s="89">
        <v>32532110</v>
      </c>
      <c r="AB66" s="90"/>
    </row>
    <row r="67" spans="1:28" x14ac:dyDescent="0.2">
      <c r="A67" s="88">
        <v>2004</v>
      </c>
      <c r="B67" s="89">
        <v>2046877</v>
      </c>
      <c r="C67" s="90"/>
      <c r="D67" s="89">
        <v>137762</v>
      </c>
      <c r="E67" s="89">
        <v>8549832</v>
      </c>
      <c r="F67" s="96" t="s">
        <v>303</v>
      </c>
      <c r="G67" s="89">
        <v>9824669</v>
      </c>
      <c r="H67" s="90"/>
      <c r="I67" s="89">
        <v>20559140</v>
      </c>
      <c r="J67" s="96" t="s">
        <v>303</v>
      </c>
      <c r="K67" s="89">
        <v>32556</v>
      </c>
      <c r="L67" s="90"/>
      <c r="M67" s="89">
        <v>3800</v>
      </c>
      <c r="N67" s="91" t="s">
        <v>302</v>
      </c>
      <c r="O67" s="90"/>
      <c r="P67" s="91" t="s">
        <v>302</v>
      </c>
      <c r="Q67" s="89">
        <v>1816561</v>
      </c>
      <c r="R67" s="90"/>
      <c r="S67" s="89">
        <v>1852917</v>
      </c>
      <c r="T67" s="90"/>
      <c r="U67" s="89">
        <v>22412057</v>
      </c>
      <c r="V67" s="96" t="s">
        <v>303</v>
      </c>
      <c r="W67" s="89">
        <v>3472903</v>
      </c>
      <c r="X67" s="90"/>
      <c r="Y67" s="89">
        <v>7634823</v>
      </c>
      <c r="Z67" s="96" t="s">
        <v>303</v>
      </c>
      <c r="AA67" s="89">
        <v>33519782</v>
      </c>
      <c r="AB67" s="96" t="s">
        <v>303</v>
      </c>
    </row>
    <row r="68" spans="1:28" x14ac:dyDescent="0.2">
      <c r="A68" s="92">
        <v>2005</v>
      </c>
      <c r="B68" s="93">
        <v>1954042</v>
      </c>
      <c r="C68" s="94"/>
      <c r="D68" s="93">
        <v>44191</v>
      </c>
      <c r="E68" s="93">
        <v>7907344</v>
      </c>
      <c r="F68" s="97" t="s">
        <v>303</v>
      </c>
      <c r="G68" s="93">
        <v>9632513</v>
      </c>
      <c r="H68" s="94"/>
      <c r="I68" s="93">
        <v>19538091</v>
      </c>
      <c r="J68" s="97" t="s">
        <v>303</v>
      </c>
      <c r="K68" s="93">
        <v>31951</v>
      </c>
      <c r="L68" s="94"/>
      <c r="M68" s="93">
        <v>4300</v>
      </c>
      <c r="N68" s="95" t="s">
        <v>302</v>
      </c>
      <c r="O68" s="94"/>
      <c r="P68" s="95" t="s">
        <v>302</v>
      </c>
      <c r="Q68" s="93">
        <v>1836920</v>
      </c>
      <c r="R68" s="94"/>
      <c r="S68" s="93">
        <v>1873172</v>
      </c>
      <c r="T68" s="94"/>
      <c r="U68" s="93">
        <v>21411262</v>
      </c>
      <c r="V68" s="97" t="s">
        <v>303</v>
      </c>
      <c r="W68" s="93">
        <v>3477360</v>
      </c>
      <c r="X68" s="94"/>
      <c r="Y68" s="93">
        <v>7557233</v>
      </c>
      <c r="Z68" s="97" t="s">
        <v>303</v>
      </c>
      <c r="AA68" s="93">
        <v>32445855</v>
      </c>
      <c r="AB68" s="97" t="s">
        <v>303</v>
      </c>
    </row>
    <row r="69" spans="1:28" x14ac:dyDescent="0.2">
      <c r="A69" s="88">
        <v>2006</v>
      </c>
      <c r="B69" s="89">
        <v>1914466</v>
      </c>
      <c r="C69" s="90"/>
      <c r="D69" s="89">
        <v>60787</v>
      </c>
      <c r="E69" s="89">
        <v>7861025</v>
      </c>
      <c r="F69" s="96" t="s">
        <v>303</v>
      </c>
      <c r="G69" s="89">
        <v>9769914</v>
      </c>
      <c r="H69" s="90"/>
      <c r="I69" s="89">
        <v>19606191</v>
      </c>
      <c r="J69" s="96" t="s">
        <v>303</v>
      </c>
      <c r="K69" s="89">
        <v>28756</v>
      </c>
      <c r="L69" s="90"/>
      <c r="M69" s="89">
        <v>4400</v>
      </c>
      <c r="N69" s="91" t="s">
        <v>302</v>
      </c>
      <c r="O69" s="90"/>
      <c r="P69" s="91" t="s">
        <v>302</v>
      </c>
      <c r="Q69" s="89">
        <v>1896649</v>
      </c>
      <c r="R69" s="96" t="s">
        <v>303</v>
      </c>
      <c r="S69" s="89">
        <v>1929805</v>
      </c>
      <c r="T69" s="96" t="s">
        <v>303</v>
      </c>
      <c r="U69" s="89">
        <v>21535996</v>
      </c>
      <c r="V69" s="96" t="s">
        <v>303</v>
      </c>
      <c r="W69" s="89">
        <v>3450547</v>
      </c>
      <c r="X69" s="90"/>
      <c r="Y69" s="89">
        <v>7414517</v>
      </c>
      <c r="Z69" s="96" t="s">
        <v>303</v>
      </c>
      <c r="AA69" s="89">
        <v>32401060</v>
      </c>
      <c r="AB69" s="96" t="s">
        <v>303</v>
      </c>
    </row>
    <row r="70" spans="1:28" x14ac:dyDescent="0.2">
      <c r="A70" s="88">
        <v>2007</v>
      </c>
      <c r="B70" s="89">
        <v>1864612</v>
      </c>
      <c r="C70" s="90"/>
      <c r="D70" s="89">
        <v>25191</v>
      </c>
      <c r="E70" s="89">
        <v>8073570</v>
      </c>
      <c r="F70" s="96" t="s">
        <v>303</v>
      </c>
      <c r="G70" s="89">
        <v>9450597</v>
      </c>
      <c r="H70" s="90"/>
      <c r="I70" s="89">
        <v>19413970</v>
      </c>
      <c r="J70" s="96" t="s">
        <v>303</v>
      </c>
      <c r="K70" s="89">
        <v>15715</v>
      </c>
      <c r="L70" s="90"/>
      <c r="M70" s="89">
        <v>4700</v>
      </c>
      <c r="N70" s="91" t="s">
        <v>302</v>
      </c>
      <c r="O70" s="90"/>
      <c r="P70" s="91" t="s">
        <v>302</v>
      </c>
      <c r="Q70" s="89">
        <v>1935613</v>
      </c>
      <c r="R70" s="96" t="s">
        <v>303</v>
      </c>
      <c r="S70" s="89">
        <v>1956029</v>
      </c>
      <c r="T70" s="96" t="s">
        <v>303</v>
      </c>
      <c r="U70" s="102">
        <v>21379000</v>
      </c>
      <c r="V70" s="96" t="s">
        <v>303</v>
      </c>
      <c r="W70" s="89">
        <v>3506963</v>
      </c>
      <c r="X70" s="90"/>
      <c r="Y70" s="89">
        <v>7517012</v>
      </c>
      <c r="Z70" s="96" t="s">
        <v>303</v>
      </c>
      <c r="AA70" s="102">
        <v>32403000</v>
      </c>
      <c r="AB70" s="96" t="s">
        <v>303</v>
      </c>
    </row>
    <row r="71" spans="1:28" x14ac:dyDescent="0.2">
      <c r="A71" s="92">
        <v>2008</v>
      </c>
      <c r="B71" s="93">
        <v>1795585</v>
      </c>
      <c r="C71" s="94"/>
      <c r="D71" s="93">
        <v>40772</v>
      </c>
      <c r="E71" s="93">
        <v>8083406</v>
      </c>
      <c r="F71" s="97" t="s">
        <v>303</v>
      </c>
      <c r="G71" s="102">
        <v>8588000</v>
      </c>
      <c r="H71" s="94"/>
      <c r="I71" s="102">
        <v>18508000</v>
      </c>
      <c r="J71" s="97" t="s">
        <v>303</v>
      </c>
      <c r="K71" s="93">
        <v>16514</v>
      </c>
      <c r="L71" s="94"/>
      <c r="M71" s="93">
        <v>5000</v>
      </c>
      <c r="N71" s="95" t="s">
        <v>302</v>
      </c>
      <c r="O71" s="94"/>
      <c r="P71" s="95" t="s">
        <v>302</v>
      </c>
      <c r="Q71" s="93">
        <v>2027883</v>
      </c>
      <c r="R71" s="97" t="s">
        <v>303</v>
      </c>
      <c r="S71" s="93">
        <v>2049398</v>
      </c>
      <c r="T71" s="97" t="s">
        <v>303</v>
      </c>
      <c r="U71" s="102">
        <v>20555000</v>
      </c>
      <c r="V71" s="97" t="s">
        <v>303</v>
      </c>
      <c r="W71" s="93">
        <v>3443733</v>
      </c>
      <c r="X71" s="94"/>
      <c r="Y71" s="93">
        <v>7365446</v>
      </c>
      <c r="Z71" s="97" t="s">
        <v>303</v>
      </c>
      <c r="AA71" s="102">
        <v>32364000</v>
      </c>
      <c r="AB71" s="97" t="s">
        <v>303</v>
      </c>
    </row>
    <row r="72" spans="1:28" x14ac:dyDescent="0.2">
      <c r="A72" s="88">
        <v>2009</v>
      </c>
      <c r="B72" s="89">
        <v>1395671</v>
      </c>
      <c r="C72" s="90"/>
      <c r="D72" s="89">
        <v>-23811</v>
      </c>
      <c r="E72" s="89">
        <v>7608972</v>
      </c>
      <c r="F72" s="96" t="s">
        <v>303</v>
      </c>
      <c r="G72" s="102">
        <v>7813000</v>
      </c>
      <c r="H72" s="90"/>
      <c r="I72" s="102">
        <v>16794000</v>
      </c>
      <c r="J72" s="96" t="s">
        <v>303</v>
      </c>
      <c r="K72" s="89">
        <v>18235</v>
      </c>
      <c r="L72" s="90"/>
      <c r="M72" s="89">
        <v>4200</v>
      </c>
      <c r="N72" s="91" t="s">
        <v>302</v>
      </c>
      <c r="O72" s="90"/>
      <c r="P72" s="91" t="s">
        <v>302</v>
      </c>
      <c r="Q72" s="89">
        <v>1993634</v>
      </c>
      <c r="R72" s="96" t="s">
        <v>303</v>
      </c>
      <c r="S72" s="89">
        <v>2016069</v>
      </c>
      <c r="T72" s="96" t="s">
        <v>303</v>
      </c>
      <c r="U72" s="102">
        <v>18779000</v>
      </c>
      <c r="V72" s="96" t="s">
        <v>303</v>
      </c>
      <c r="W72" s="89">
        <v>3130312</v>
      </c>
      <c r="X72" s="90"/>
      <c r="Y72" s="89">
        <v>6581899</v>
      </c>
      <c r="Z72" s="96" t="s">
        <v>303</v>
      </c>
      <c r="AA72" s="102">
        <v>28491000</v>
      </c>
      <c r="AB72" s="96" t="s">
        <v>303</v>
      </c>
    </row>
    <row r="73" spans="1:28" x14ac:dyDescent="0.2">
      <c r="A73" s="88">
        <v>2010</v>
      </c>
      <c r="B73" s="102">
        <v>1590000</v>
      </c>
      <c r="C73" s="96" t="s">
        <v>303</v>
      </c>
      <c r="D73" s="89">
        <v>-6171</v>
      </c>
      <c r="E73" s="102">
        <v>8278000</v>
      </c>
      <c r="F73" s="96" t="s">
        <v>303</v>
      </c>
      <c r="G73" s="102">
        <v>8172000</v>
      </c>
      <c r="H73" s="96" t="s">
        <v>303</v>
      </c>
      <c r="I73" s="102">
        <v>18033000</v>
      </c>
      <c r="J73" s="96" t="s">
        <v>303</v>
      </c>
      <c r="K73" s="89">
        <v>16270</v>
      </c>
      <c r="L73" s="96" t="s">
        <v>303</v>
      </c>
      <c r="M73" s="89">
        <v>4200</v>
      </c>
      <c r="N73" s="91">
        <v>18</v>
      </c>
      <c r="O73" s="96" t="s">
        <v>303</v>
      </c>
      <c r="P73" s="91" t="s">
        <v>302</v>
      </c>
      <c r="Q73" s="89">
        <v>2229866</v>
      </c>
      <c r="R73" s="96" t="s">
        <v>303</v>
      </c>
      <c r="S73" s="89">
        <v>2250353</v>
      </c>
      <c r="T73" s="96" t="s">
        <v>303</v>
      </c>
      <c r="U73" s="102">
        <v>20254000</v>
      </c>
      <c r="V73" s="96" t="s">
        <v>303</v>
      </c>
      <c r="W73" s="89">
        <v>3312618</v>
      </c>
      <c r="X73" s="96" t="s">
        <v>303</v>
      </c>
      <c r="Y73" s="89">
        <v>6934378</v>
      </c>
      <c r="Z73" s="96" t="s">
        <v>303</v>
      </c>
      <c r="AA73" s="102">
        <v>30502000</v>
      </c>
      <c r="AB73" s="96" t="s">
        <v>303</v>
      </c>
    </row>
    <row r="74" spans="1:28" x14ac:dyDescent="0.2">
      <c r="A74" s="92" t="s">
        <v>344</v>
      </c>
      <c r="B74" s="102">
        <v>1569000</v>
      </c>
      <c r="C74" s="94"/>
      <c r="D74" s="93">
        <v>11104</v>
      </c>
      <c r="E74" s="102">
        <v>8389000</v>
      </c>
      <c r="F74" s="94"/>
      <c r="G74" s="102">
        <v>8201</v>
      </c>
      <c r="H74" s="94"/>
      <c r="I74" s="102">
        <v>18171000</v>
      </c>
      <c r="J74" s="94"/>
      <c r="K74" s="93">
        <v>17933</v>
      </c>
      <c r="L74" s="94"/>
      <c r="M74" s="93">
        <v>4200</v>
      </c>
      <c r="N74" s="95">
        <v>95</v>
      </c>
      <c r="O74" s="94"/>
      <c r="P74" s="95">
        <v>95</v>
      </c>
      <c r="Q74" s="93">
        <v>2272984</v>
      </c>
      <c r="R74" s="94"/>
      <c r="S74" s="93">
        <v>2295306</v>
      </c>
      <c r="T74" s="94"/>
      <c r="U74" s="102">
        <v>20454000</v>
      </c>
      <c r="V74" s="94"/>
      <c r="W74" s="102">
        <v>3382000</v>
      </c>
      <c r="X74" s="94"/>
      <c r="Y74" s="102">
        <v>7007000</v>
      </c>
      <c r="Z74" s="94"/>
      <c r="AA74" s="102">
        <v>30843000</v>
      </c>
      <c r="AB74" s="94"/>
    </row>
    <row r="75" spans="1:28" x14ac:dyDescent="0.2">
      <c r="A75" s="141" t="s">
        <v>304</v>
      </c>
      <c r="B75" s="142"/>
      <c r="C75" s="142"/>
      <c r="D75" s="142"/>
      <c r="E75" s="142"/>
      <c r="F75" s="142"/>
      <c r="G75" s="142"/>
      <c r="H75" s="142"/>
      <c r="I75" s="142"/>
      <c r="J75" s="142"/>
      <c r="K75" s="142"/>
      <c r="L75" s="142"/>
      <c r="M75" s="142"/>
      <c r="N75" s="142"/>
      <c r="O75" s="142" t="s">
        <v>305</v>
      </c>
      <c r="P75" s="142"/>
      <c r="Q75" s="142"/>
      <c r="R75" s="142"/>
      <c r="S75" s="142"/>
      <c r="T75" s="142"/>
      <c r="U75" s="142"/>
      <c r="V75" s="142"/>
      <c r="W75" s="142"/>
      <c r="X75" s="142"/>
      <c r="Y75" s="142"/>
      <c r="Z75" s="142"/>
      <c r="AA75" s="142"/>
      <c r="AB75" s="143"/>
    </row>
    <row r="76" spans="1:28" x14ac:dyDescent="0.2">
      <c r="A76" s="144" t="s">
        <v>306</v>
      </c>
      <c r="B76" s="145"/>
      <c r="C76" s="145"/>
      <c r="D76" s="145"/>
      <c r="E76" s="145"/>
      <c r="F76" s="145"/>
      <c r="G76" s="145"/>
      <c r="H76" s="145"/>
      <c r="I76" s="145"/>
      <c r="J76" s="145"/>
      <c r="K76" s="145"/>
      <c r="L76" s="145"/>
      <c r="M76" s="145"/>
      <c r="N76" s="145"/>
      <c r="O76" s="145" t="s">
        <v>307</v>
      </c>
      <c r="P76" s="145"/>
      <c r="Q76" s="145"/>
      <c r="R76" s="145"/>
      <c r="S76" s="145"/>
      <c r="T76" s="145"/>
      <c r="U76" s="145"/>
      <c r="V76" s="145"/>
      <c r="W76" s="145"/>
      <c r="X76" s="145"/>
      <c r="Y76" s="145"/>
      <c r="Z76" s="145"/>
      <c r="AA76" s="145"/>
      <c r="AB76" s="146"/>
    </row>
    <row r="77" spans="1:28" x14ac:dyDescent="0.2">
      <c r="A77" s="144"/>
      <c r="B77" s="145"/>
      <c r="C77" s="145"/>
      <c r="D77" s="145"/>
      <c r="E77" s="145"/>
      <c r="F77" s="145"/>
      <c r="G77" s="145"/>
      <c r="H77" s="145"/>
      <c r="I77" s="145"/>
      <c r="J77" s="145"/>
      <c r="K77" s="145"/>
      <c r="L77" s="145"/>
      <c r="M77" s="145"/>
      <c r="N77" s="145"/>
      <c r="O77" s="147" t="s">
        <v>308</v>
      </c>
      <c r="P77" s="147"/>
      <c r="Q77" s="147"/>
      <c r="R77" s="147"/>
      <c r="S77" s="147"/>
      <c r="T77" s="147"/>
      <c r="U77" s="147"/>
      <c r="V77" s="147"/>
      <c r="W77" s="147"/>
      <c r="X77" s="147"/>
      <c r="Y77" s="147"/>
      <c r="Z77" s="147"/>
      <c r="AA77" s="147"/>
      <c r="AB77" s="148"/>
    </row>
    <row r="78" spans="1:28" x14ac:dyDescent="0.2">
      <c r="A78" s="144"/>
      <c r="B78" s="145"/>
      <c r="C78" s="145"/>
      <c r="D78" s="145"/>
      <c r="E78" s="145"/>
      <c r="F78" s="145"/>
      <c r="G78" s="145"/>
      <c r="H78" s="145"/>
      <c r="I78" s="145"/>
      <c r="J78" s="145"/>
      <c r="K78" s="145"/>
      <c r="L78" s="145"/>
      <c r="M78" s="145"/>
      <c r="N78" s="145"/>
      <c r="O78" s="147" t="s">
        <v>309</v>
      </c>
      <c r="P78" s="147"/>
      <c r="Q78" s="147"/>
      <c r="R78" s="147"/>
      <c r="S78" s="147"/>
      <c r="T78" s="147"/>
      <c r="U78" s="147"/>
      <c r="V78" s="147"/>
      <c r="W78" s="147"/>
      <c r="X78" s="147"/>
      <c r="Y78" s="147"/>
      <c r="Z78" s="147"/>
      <c r="AA78" s="147"/>
      <c r="AB78" s="148"/>
    </row>
    <row r="79" spans="1:28" x14ac:dyDescent="0.2">
      <c r="A79" s="144"/>
      <c r="B79" s="145"/>
      <c r="C79" s="145"/>
      <c r="D79" s="145"/>
      <c r="E79" s="145"/>
      <c r="F79" s="145"/>
      <c r="G79" s="145"/>
      <c r="H79" s="145"/>
      <c r="I79" s="145"/>
      <c r="J79" s="145"/>
      <c r="K79" s="145"/>
      <c r="L79" s="145"/>
      <c r="M79" s="145"/>
      <c r="N79" s="145"/>
      <c r="O79" s="147" t="s">
        <v>310</v>
      </c>
      <c r="P79" s="147"/>
      <c r="Q79" s="147"/>
      <c r="R79" s="147"/>
      <c r="S79" s="147"/>
      <c r="T79" s="147"/>
      <c r="U79" s="147"/>
      <c r="V79" s="147"/>
      <c r="W79" s="147"/>
      <c r="X79" s="147"/>
      <c r="Y79" s="147"/>
      <c r="Z79" s="147"/>
      <c r="AA79" s="147"/>
      <c r="AB79" s="148"/>
    </row>
    <row r="80" spans="1:28" x14ac:dyDescent="0.2">
      <c r="A80" s="144" t="s">
        <v>311</v>
      </c>
      <c r="B80" s="145"/>
      <c r="C80" s="145"/>
      <c r="D80" s="145"/>
      <c r="E80" s="145"/>
      <c r="F80" s="145"/>
      <c r="G80" s="145"/>
      <c r="H80" s="145"/>
      <c r="I80" s="145"/>
      <c r="J80" s="145"/>
      <c r="K80" s="145"/>
      <c r="L80" s="145"/>
      <c r="M80" s="145"/>
      <c r="N80" s="145"/>
      <c r="O80" s="145" t="s">
        <v>312</v>
      </c>
      <c r="P80" s="145"/>
      <c r="Q80" s="145"/>
      <c r="R80" s="145"/>
      <c r="S80" s="145"/>
      <c r="T80" s="145"/>
      <c r="U80" s="145"/>
      <c r="V80" s="145"/>
      <c r="W80" s="145"/>
      <c r="X80" s="145"/>
      <c r="Y80" s="145"/>
      <c r="Z80" s="145"/>
      <c r="AA80" s="145"/>
      <c r="AB80" s="146"/>
    </row>
    <row r="81" spans="1:28" x14ac:dyDescent="0.2">
      <c r="A81" s="149" t="s">
        <v>313</v>
      </c>
      <c r="B81" s="147"/>
      <c r="C81" s="147"/>
      <c r="D81" s="147"/>
      <c r="E81" s="147"/>
      <c r="F81" s="147"/>
      <c r="G81" s="147"/>
      <c r="H81" s="147"/>
      <c r="I81" s="147"/>
      <c r="J81" s="147"/>
      <c r="K81" s="147"/>
      <c r="L81" s="147"/>
      <c r="M81" s="147"/>
      <c r="N81" s="147"/>
      <c r="O81" s="147" t="s">
        <v>314</v>
      </c>
      <c r="P81" s="147"/>
      <c r="Q81" s="147"/>
      <c r="R81" s="147"/>
      <c r="S81" s="147"/>
      <c r="T81" s="147"/>
      <c r="U81" s="147"/>
      <c r="V81" s="147"/>
      <c r="W81" s="147"/>
      <c r="X81" s="147"/>
      <c r="Y81" s="147"/>
      <c r="Z81" s="147"/>
      <c r="AA81" s="147"/>
      <c r="AB81" s="148"/>
    </row>
    <row r="82" spans="1:28" x14ac:dyDescent="0.2">
      <c r="A82" s="144" t="s">
        <v>315</v>
      </c>
      <c r="B82" s="145"/>
      <c r="C82" s="145"/>
      <c r="D82" s="145"/>
      <c r="E82" s="145"/>
      <c r="F82" s="145"/>
      <c r="G82" s="145"/>
      <c r="H82" s="145"/>
      <c r="I82" s="145"/>
      <c r="J82" s="145"/>
      <c r="K82" s="145"/>
      <c r="L82" s="145"/>
      <c r="M82" s="145"/>
      <c r="N82" s="145"/>
      <c r="O82" s="145" t="s">
        <v>316</v>
      </c>
      <c r="P82" s="145"/>
      <c r="Q82" s="145"/>
      <c r="R82" s="145"/>
      <c r="S82" s="145"/>
      <c r="T82" s="145"/>
      <c r="U82" s="145"/>
      <c r="V82" s="145"/>
      <c r="W82" s="145"/>
      <c r="X82" s="145"/>
      <c r="Y82" s="145"/>
      <c r="Z82" s="145"/>
      <c r="AA82" s="145"/>
      <c r="AB82" s="146"/>
    </row>
    <row r="83" spans="1:28" x14ac:dyDescent="0.2">
      <c r="A83" s="149" t="s">
        <v>317</v>
      </c>
      <c r="B83" s="147"/>
      <c r="C83" s="147"/>
      <c r="D83" s="147"/>
      <c r="E83" s="147"/>
      <c r="F83" s="147"/>
      <c r="G83" s="147"/>
      <c r="H83" s="147"/>
      <c r="I83" s="147"/>
      <c r="J83" s="147"/>
      <c r="K83" s="147"/>
      <c r="L83" s="147"/>
      <c r="M83" s="147"/>
      <c r="N83" s="147"/>
      <c r="O83" s="147" t="s">
        <v>318</v>
      </c>
      <c r="P83" s="147"/>
      <c r="Q83" s="147"/>
      <c r="R83" s="147"/>
      <c r="S83" s="147"/>
      <c r="T83" s="147"/>
      <c r="U83" s="147"/>
      <c r="V83" s="147"/>
      <c r="W83" s="147"/>
      <c r="X83" s="147"/>
      <c r="Y83" s="147"/>
      <c r="Z83" s="147"/>
      <c r="AA83" s="147"/>
      <c r="AB83" s="148"/>
    </row>
    <row r="84" spans="1:28" x14ac:dyDescent="0.2">
      <c r="A84" s="149" t="s">
        <v>319</v>
      </c>
      <c r="B84" s="147"/>
      <c r="C84" s="147"/>
      <c r="D84" s="147"/>
      <c r="E84" s="147"/>
      <c r="F84" s="147"/>
      <c r="G84" s="147"/>
      <c r="H84" s="147"/>
      <c r="I84" s="147"/>
      <c r="J84" s="147"/>
      <c r="K84" s="147"/>
      <c r="L84" s="147"/>
      <c r="M84" s="147"/>
      <c r="N84" s="147"/>
      <c r="O84" s="147" t="s">
        <v>320</v>
      </c>
      <c r="P84" s="147"/>
      <c r="Q84" s="147"/>
      <c r="R84" s="147"/>
      <c r="S84" s="147"/>
      <c r="T84" s="147"/>
      <c r="U84" s="147"/>
      <c r="V84" s="147"/>
      <c r="W84" s="147"/>
      <c r="X84" s="147"/>
      <c r="Y84" s="147"/>
      <c r="Z84" s="147"/>
      <c r="AA84" s="147"/>
      <c r="AB84" s="148"/>
    </row>
    <row r="85" spans="1:28" x14ac:dyDescent="0.2">
      <c r="A85" s="144" t="s">
        <v>321</v>
      </c>
      <c r="B85" s="145"/>
      <c r="C85" s="145"/>
      <c r="D85" s="145"/>
      <c r="E85" s="145"/>
      <c r="F85" s="145"/>
      <c r="G85" s="145"/>
      <c r="H85" s="145"/>
      <c r="I85" s="145"/>
      <c r="J85" s="145"/>
      <c r="K85" s="145"/>
      <c r="L85" s="145"/>
      <c r="M85" s="145"/>
      <c r="N85" s="145"/>
      <c r="O85" s="147" t="s">
        <v>322</v>
      </c>
      <c r="P85" s="147"/>
      <c r="Q85" s="147"/>
      <c r="R85" s="147"/>
      <c r="S85" s="147"/>
      <c r="T85" s="147"/>
      <c r="U85" s="147"/>
      <c r="V85" s="147"/>
      <c r="W85" s="147"/>
      <c r="X85" s="147"/>
      <c r="Y85" s="147"/>
      <c r="Z85" s="147"/>
      <c r="AA85" s="147"/>
      <c r="AB85" s="148"/>
    </row>
    <row r="86" spans="1:28" x14ac:dyDescent="0.2">
      <c r="A86" s="144"/>
      <c r="B86" s="145"/>
      <c r="C86" s="145"/>
      <c r="D86" s="145"/>
      <c r="E86" s="145"/>
      <c r="F86" s="145"/>
      <c r="G86" s="145"/>
      <c r="H86" s="145"/>
      <c r="I86" s="145"/>
      <c r="J86" s="145"/>
      <c r="K86" s="145"/>
      <c r="L86" s="145"/>
      <c r="M86" s="145"/>
      <c r="N86" s="145"/>
      <c r="O86" s="147" t="s">
        <v>323</v>
      </c>
      <c r="P86" s="147"/>
      <c r="Q86" s="147"/>
      <c r="R86" s="147"/>
      <c r="S86" s="147"/>
      <c r="T86" s="147"/>
      <c r="U86" s="147"/>
      <c r="V86" s="147"/>
      <c r="W86" s="147"/>
      <c r="X86" s="147"/>
      <c r="Y86" s="147"/>
      <c r="Z86" s="147"/>
      <c r="AA86" s="147"/>
      <c r="AB86" s="148"/>
    </row>
    <row r="87" spans="1:28" x14ac:dyDescent="0.2">
      <c r="A87" s="144" t="s">
        <v>324</v>
      </c>
      <c r="B87" s="145"/>
      <c r="C87" s="145"/>
      <c r="D87" s="145"/>
      <c r="E87" s="145"/>
      <c r="F87" s="145"/>
      <c r="G87" s="145"/>
      <c r="H87" s="145"/>
      <c r="I87" s="145"/>
      <c r="J87" s="145"/>
      <c r="K87" s="145"/>
      <c r="L87" s="145"/>
      <c r="M87" s="145"/>
      <c r="N87" s="145"/>
      <c r="O87" s="147" t="s">
        <v>325</v>
      </c>
      <c r="P87" s="147"/>
      <c r="Q87" s="147"/>
      <c r="R87" s="147"/>
      <c r="S87" s="147"/>
      <c r="T87" s="147"/>
      <c r="U87" s="147"/>
      <c r="V87" s="147"/>
      <c r="W87" s="147"/>
      <c r="X87" s="147"/>
      <c r="Y87" s="147"/>
      <c r="Z87" s="147"/>
      <c r="AA87" s="147"/>
      <c r="AB87" s="148"/>
    </row>
    <row r="88" spans="1:28" x14ac:dyDescent="0.2">
      <c r="A88" s="149" t="s">
        <v>326</v>
      </c>
      <c r="B88" s="147"/>
      <c r="C88" s="147"/>
      <c r="D88" s="147"/>
      <c r="E88" s="147"/>
      <c r="F88" s="147"/>
      <c r="G88" s="147"/>
      <c r="H88" s="147"/>
      <c r="I88" s="147"/>
      <c r="J88" s="147"/>
      <c r="K88" s="147"/>
      <c r="L88" s="147"/>
      <c r="M88" s="147"/>
      <c r="N88" s="147"/>
      <c r="O88" s="147" t="s">
        <v>327</v>
      </c>
      <c r="P88" s="147"/>
      <c r="Q88" s="147"/>
      <c r="R88" s="147"/>
      <c r="S88" s="147"/>
      <c r="T88" s="147"/>
      <c r="U88" s="147"/>
      <c r="V88" s="147"/>
      <c r="W88" s="147"/>
      <c r="X88" s="147"/>
      <c r="Y88" s="147"/>
      <c r="Z88" s="147"/>
      <c r="AA88" s="147"/>
      <c r="AB88" s="148"/>
    </row>
    <row r="89" spans="1:28" x14ac:dyDescent="0.2">
      <c r="A89" s="149"/>
      <c r="B89" s="147"/>
      <c r="C89" s="147"/>
      <c r="D89" s="147"/>
      <c r="E89" s="147"/>
      <c r="F89" s="147"/>
      <c r="G89" s="147"/>
      <c r="H89" s="147"/>
      <c r="I89" s="147"/>
      <c r="J89" s="147"/>
      <c r="K89" s="147"/>
      <c r="L89" s="147"/>
      <c r="M89" s="147"/>
      <c r="N89" s="147"/>
      <c r="O89" s="147" t="s">
        <v>328</v>
      </c>
      <c r="P89" s="147"/>
      <c r="Q89" s="147"/>
      <c r="R89" s="147"/>
      <c r="S89" s="147"/>
      <c r="T89" s="147"/>
      <c r="U89" s="147"/>
      <c r="V89" s="147"/>
      <c r="W89" s="147"/>
      <c r="X89" s="147"/>
      <c r="Y89" s="147"/>
      <c r="Z89" s="147"/>
      <c r="AA89" s="147"/>
      <c r="AB89" s="148"/>
    </row>
    <row r="90" spans="1:28" ht="12.75" customHeight="1" x14ac:dyDescent="0.2">
      <c r="A90" s="144" t="s">
        <v>329</v>
      </c>
      <c r="B90" s="145"/>
      <c r="C90" s="145"/>
      <c r="D90" s="145"/>
      <c r="E90" s="145"/>
      <c r="F90" s="145"/>
      <c r="G90" s="145"/>
      <c r="H90" s="145"/>
      <c r="I90" s="145"/>
      <c r="J90" s="145"/>
      <c r="K90" s="145"/>
      <c r="L90" s="145"/>
      <c r="M90" s="145"/>
      <c r="N90" s="145"/>
      <c r="O90" s="150" t="s">
        <v>330</v>
      </c>
      <c r="P90" s="150"/>
      <c r="Q90" s="150"/>
      <c r="R90" s="150"/>
      <c r="S90" s="150"/>
      <c r="T90" s="150"/>
      <c r="U90" s="150"/>
      <c r="V90" s="150"/>
      <c r="W90" s="150"/>
      <c r="X90" s="150"/>
      <c r="Y90" s="150"/>
      <c r="Z90" s="150"/>
      <c r="AA90" s="150"/>
      <c r="AB90" s="151"/>
    </row>
    <row r="91" spans="1:28" x14ac:dyDescent="0.2">
      <c r="A91" s="144"/>
      <c r="B91" s="145"/>
      <c r="C91" s="145"/>
      <c r="D91" s="145"/>
      <c r="E91" s="145"/>
      <c r="F91" s="145"/>
      <c r="G91" s="145"/>
      <c r="H91" s="145"/>
      <c r="I91" s="145"/>
      <c r="J91" s="145"/>
      <c r="K91" s="145"/>
      <c r="L91" s="145"/>
      <c r="M91" s="145"/>
      <c r="N91" s="145"/>
      <c r="O91" s="147" t="s">
        <v>331</v>
      </c>
      <c r="P91" s="147"/>
      <c r="Q91" s="147"/>
      <c r="R91" s="147"/>
      <c r="S91" s="147"/>
      <c r="T91" s="147"/>
      <c r="U91" s="147"/>
      <c r="V91" s="147"/>
      <c r="W91" s="147"/>
      <c r="X91" s="147"/>
      <c r="Y91" s="147"/>
      <c r="Z91" s="147"/>
      <c r="AA91" s="147"/>
      <c r="AB91" s="148"/>
    </row>
    <row r="92" spans="1:28" x14ac:dyDescent="0.2">
      <c r="A92" s="144" t="s">
        <v>332</v>
      </c>
      <c r="B92" s="145"/>
      <c r="C92" s="145"/>
      <c r="D92" s="145"/>
      <c r="E92" s="145"/>
      <c r="F92" s="145"/>
      <c r="G92" s="145"/>
      <c r="H92" s="145"/>
      <c r="I92" s="145"/>
      <c r="J92" s="145"/>
      <c r="K92" s="145"/>
      <c r="L92" s="145"/>
      <c r="M92" s="145"/>
      <c r="N92" s="145"/>
      <c r="O92" s="147" t="s">
        <v>333</v>
      </c>
      <c r="P92" s="147"/>
      <c r="Q92" s="147"/>
      <c r="R92" s="147"/>
      <c r="S92" s="147"/>
      <c r="T92" s="147"/>
      <c r="U92" s="147"/>
      <c r="V92" s="147"/>
      <c r="W92" s="147"/>
      <c r="X92" s="147"/>
      <c r="Y92" s="147"/>
      <c r="Z92" s="147"/>
      <c r="AA92" s="147"/>
      <c r="AB92" s="148"/>
    </row>
    <row r="93" spans="1:28" x14ac:dyDescent="0.2">
      <c r="A93" s="154" t="s">
        <v>334</v>
      </c>
      <c r="B93" s="152"/>
      <c r="C93" s="152"/>
      <c r="D93" s="152"/>
      <c r="E93" s="152"/>
      <c r="F93" s="152"/>
      <c r="G93" s="152"/>
      <c r="H93" s="152"/>
      <c r="I93" s="152"/>
      <c r="J93" s="152"/>
      <c r="K93" s="152"/>
      <c r="L93" s="152"/>
      <c r="M93" s="152"/>
      <c r="N93" s="152"/>
      <c r="O93" s="152"/>
      <c r="P93" s="152"/>
      <c r="Q93" s="152"/>
      <c r="R93" s="152"/>
      <c r="S93" s="152"/>
      <c r="T93" s="152"/>
      <c r="U93" s="152"/>
      <c r="V93" s="152"/>
      <c r="W93" s="152"/>
      <c r="X93" s="152"/>
      <c r="Y93" s="152"/>
      <c r="Z93" s="152"/>
      <c r="AA93" s="152"/>
      <c r="AB93" s="153"/>
    </row>
  </sheetData>
  <mergeCells count="74">
    <mergeCell ref="A90:N91"/>
    <mergeCell ref="O90:AB90"/>
    <mergeCell ref="O91:AB91"/>
    <mergeCell ref="A92:N92"/>
    <mergeCell ref="O92:AB93"/>
    <mergeCell ref="A93:N93"/>
    <mergeCell ref="A87:N87"/>
    <mergeCell ref="O87:AB87"/>
    <mergeCell ref="A88:N88"/>
    <mergeCell ref="O88:AB88"/>
    <mergeCell ref="A89:N89"/>
    <mergeCell ref="O89:AB89"/>
    <mergeCell ref="A83:N83"/>
    <mergeCell ref="O83:AB83"/>
    <mergeCell ref="A84:N84"/>
    <mergeCell ref="O84:AB84"/>
    <mergeCell ref="A85:N86"/>
    <mergeCell ref="O85:AB85"/>
    <mergeCell ref="O86:AB86"/>
    <mergeCell ref="A80:N80"/>
    <mergeCell ref="O80:AB80"/>
    <mergeCell ref="A81:N81"/>
    <mergeCell ref="O81:AB81"/>
    <mergeCell ref="A82:N82"/>
    <mergeCell ref="O82:AB82"/>
    <mergeCell ref="A75:N75"/>
    <mergeCell ref="O75:AB75"/>
    <mergeCell ref="A76:N79"/>
    <mergeCell ref="O76:AB76"/>
    <mergeCell ref="O77:AB77"/>
    <mergeCell ref="O78:AB78"/>
    <mergeCell ref="O79:AB79"/>
    <mergeCell ref="P10:P11"/>
    <mergeCell ref="Q10:R11"/>
    <mergeCell ref="S10:T11"/>
    <mergeCell ref="U10:V10"/>
    <mergeCell ref="W10:X10"/>
    <mergeCell ref="U9:V9"/>
    <mergeCell ref="W9:X9"/>
    <mergeCell ref="Y9:Z9"/>
    <mergeCell ref="B10:C11"/>
    <mergeCell ref="E10:F10"/>
    <mergeCell ref="G10:H11"/>
    <mergeCell ref="I10:J11"/>
    <mergeCell ref="K10:L10"/>
    <mergeCell ref="M10:M11"/>
    <mergeCell ref="Y10:Z10"/>
    <mergeCell ref="E11:F11"/>
    <mergeCell ref="K11:L11"/>
    <mergeCell ref="U11:V11"/>
    <mergeCell ref="W11:X11"/>
    <mergeCell ref="Y11:Z11"/>
    <mergeCell ref="N10:O11"/>
    <mergeCell ref="W7:X7"/>
    <mergeCell ref="Y7:Z7"/>
    <mergeCell ref="U8:V8"/>
    <mergeCell ref="W8:X8"/>
    <mergeCell ref="Y8:Z8"/>
    <mergeCell ref="A1:AB1"/>
    <mergeCell ref="A2:AB2"/>
    <mergeCell ref="A3:A11"/>
    <mergeCell ref="B3:V6"/>
    <mergeCell ref="W3:X3"/>
    <mergeCell ref="Y3:Z3"/>
    <mergeCell ref="AA3:AB11"/>
    <mergeCell ref="W4:X4"/>
    <mergeCell ref="Y4:Z4"/>
    <mergeCell ref="W5:X5"/>
    <mergeCell ref="Y5:Z5"/>
    <mergeCell ref="W6:X6"/>
    <mergeCell ref="Y6:Z6"/>
    <mergeCell ref="B7:J9"/>
    <mergeCell ref="K7:T9"/>
    <mergeCell ref="U7:V7"/>
  </mergeCells>
  <hyperlinks>
    <hyperlink ref="O90" r:id="rId1" location="consumption" display="http://www.eia.gov/totalenergy/data/monthly/ - consumption" xr:uid="{00000000-0004-0000-0F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 Few Notes</vt:lpstr>
      <vt:lpstr>ASM_Annual_Elec_1970on</vt:lpstr>
      <vt:lpstr>MECS_Annual_Fuel1</vt:lpstr>
      <vt:lpstr>MECS_Annual_Fuel2</vt:lpstr>
      <vt:lpstr>ASM_Annual_Fuel3_1970on</vt:lpstr>
      <vt:lpstr>ASM_Fuel_Cost_1985-88</vt:lpstr>
      <vt:lpstr>ELECNEA</vt:lpstr>
      <vt:lpstr>elechap2b</vt:lpstr>
      <vt:lpstr>elechap3b</vt:lpstr>
      <vt:lpstr>ALLFOS</vt:lpstr>
      <vt:lpstr>fallhap2b</vt:lpstr>
      <vt:lpstr>fallhap3b</vt:lpstr>
      <vt:lpstr>MECS_Fuel</vt:lpstr>
      <vt:lpstr>ASM2</vt:lpstr>
      <vt:lpstr>MER_Nov19_Table2.4</vt:lpstr>
      <vt:lpstr>AER11_Table2.1d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cp:lastPrinted>2020-01-07T19:05:33Z</cp:lastPrinted>
  <dcterms:created xsi:type="dcterms:W3CDTF">2010-12-09T00:11:34Z</dcterms:created>
  <dcterms:modified xsi:type="dcterms:W3CDTF">2020-03-16T04:48:26Z</dcterms:modified>
</cp:coreProperties>
</file>